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S:\Compliance\Compliance-Themen\Conflict-Minerals (CMRT)\CMRT_EMRT\"/>
    </mc:Choice>
  </mc:AlternateContent>
  <xr:revisionPtr revIDLastSave="0" documentId="13_ncr:1_{F8D8CB33-07DC-403D-8F11-81E5FF48E8D3}"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5695" yWindow="0" windowWidth="26010" windowHeight="20985"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AC7" i="5"/>
  <c r="AC8" i="5"/>
  <c r="AC9"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X10" i="5"/>
  <c r="S10" i="5"/>
  <c r="T10" i="5"/>
  <c r="R10" i="5"/>
  <c r="AB9" i="5"/>
  <c r="V9" i="5"/>
  <c r="E9" i="5"/>
  <c r="X9" i="5"/>
  <c r="J9" i="5"/>
  <c r="S9" i="5"/>
  <c r="T9" i="5"/>
  <c r="R9" i="5"/>
  <c r="I9" i="5"/>
  <c r="H9" i="5"/>
  <c r="G9" i="5"/>
  <c r="F9" i="5"/>
  <c r="AB8" i="5"/>
  <c r="V8" i="5"/>
  <c r="E8" i="5"/>
  <c r="X8" i="5"/>
  <c r="J8" i="5"/>
  <c r="S8" i="5"/>
  <c r="T8" i="5"/>
  <c r="R8" i="5"/>
  <c r="I8" i="5"/>
  <c r="H8" i="5"/>
  <c r="G8" i="5"/>
  <c r="F8" i="5"/>
  <c r="AB7" i="5"/>
  <c r="V7" i="5"/>
  <c r="E7" i="5"/>
  <c r="X7" i="5"/>
  <c r="J7" i="5"/>
  <c r="S7" i="5"/>
  <c r="T7" i="5"/>
  <c r="R7" i="5"/>
  <c r="I7" i="5"/>
  <c r="H7" i="5"/>
  <c r="G7" i="5"/>
  <c r="F7" i="5"/>
  <c r="AB6" i="5"/>
  <c r="V6" i="5"/>
  <c r="E6" i="5"/>
  <c r="X6" i="5"/>
  <c r="J6" i="5"/>
  <c r="S6" i="5"/>
  <c r="T6" i="5"/>
  <c r="R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<sst xmlns="http://schemas.openxmlformats.org/spreadsheetml/2006/main" count="28528" uniqueCount="20176">
  <si>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</si>
  <si>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</si>
  <si>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</si>
  <si>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</si>
  <si>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</si>
  <si>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</si>
  <si>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</si>
  <si>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</si>
  <si>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</si>
  <si>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</si>
  <si>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</si>
  <si>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</si>
  <si>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</si>
  <si>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</si>
  <si>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</si>
  <si>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</si>
  <si>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</si>
  <si>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</si>
  <si>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</si>
  <si>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</si>
  <si>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</si>
  <si>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</si>
  <si>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</si>
  <si>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</si>
  <si>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</si>
  <si>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</si>
  <si>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</si>
  <si>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</si>
  <si>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</si>
  <si>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</si>
  <si>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</si>
  <si>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</si>
  <si>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</si>
  <si>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</si>
  <si>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</si>
  <si>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</si>
  <si>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</si>
  <si>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</si>
  <si>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</si>
  <si>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</si>
  <si>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</si>
  <si>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</si>
  <si>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</si>
  <si>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</si>
  <si>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</si>
  <si>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</si>
  <si>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</si>
  <si>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</si>
  <si>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</si>
  <si>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</si>
  <si>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</si>
  <si>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</si>
  <si>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</si>
  <si>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</si>
  <si>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</si>
  <si>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</si>
  <si>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</si>
  <si>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</si>
  <si>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</si>
  <si>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</si>
  <si>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</si>
  <si>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</si>
  <si>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</si>
  <si>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</si>
  <si>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</si>
  <si>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</si>
  <si>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</si>
  <si>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</si>
  <si>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</si>
  <si>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</si>
  <si>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</si>
  <si>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</si>
  <si>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</si>
  <si>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</si>
  <si>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</si>
  <si>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</si>
  <si>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</si>
  <si>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</si>
  <si>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</si>
  <si>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</si>
  <si>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</si>
  <si>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</si>
  <si>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</si>
  <si>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</si>
  <si>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</si>
  <si>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</si>
  <si>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</si>
  <si>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</si>
  <si>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</si>
  <si>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</si>
  <si>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</si>
  <si>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</si>
  <si>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</si>
  <si>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</si>
  <si>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</si>
  <si>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</si>
  <si>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</si>
  <si>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</si>
  <si>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</si>
  <si>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</si>
  <si>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</si>
  <si>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</si>
  <si>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</si>
  <si>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</si>
  <si>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</si>
  <si>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</si>
  <si>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</si>
  <si>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</si>
  <si>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</si>
  <si>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</si>
  <si>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</si>
  <si>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</si>
  <si>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</si>
  <si>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</si>
  <si>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</si>
  <si>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</si>
  <si>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</si>
  <si>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</si>
  <si>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</si>
  <si>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</si>
  <si>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</si>
  <si>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</si>
  <si>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</si>
  <si>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</si>
  <si>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</si>
  <si>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</si>
  <si>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</si>
  <si>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</si>
  <si>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</si>
  <si>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</si>
  <si>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</si>
  <si>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</si>
  <si>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</si>
  <si>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</si>
  <si>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</si>
  <si>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</si>
  <si>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</si>
  <si>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</si>
  <si>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</si>
  <si>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</si>
  <si>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</si>
  <si>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</si>
  <si>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</si>
  <si>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</si>
  <si>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</si>
  <si>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</si>
  <si>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</si>
  <si>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</si>
  <si>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</si>
  <si>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</si>
  <si>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</si>
  <si>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</si>
  <si>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</si>
  <si>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</si>
  <si>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</si>
  <si>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</si>
  <si>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</si>
  <si>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</si>
  <si>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</si>
  <si>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</si>
  <si>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</si>
  <si>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</si>
  <si>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</si>
  <si>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</si>
  <si>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</si>
  <si>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</si>
  <si>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</si>
  <si>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</si>
  <si>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</si>
  <si>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</si>
  <si>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</si>
  <si>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</si>
  <si>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</si>
  <si>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</si>
  <si>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</si>
  <si>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</si>
  <si>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</si>
  <si>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</si>
  <si>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</si>
  <si>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</si>
  <si>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</si>
  <si>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</si>
  <si>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</si>
  <si>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</si>
  <si>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</si>
  <si>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</si>
  <si>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</si>
  <si>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</si>
  <si>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</si>
  <si>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</si>
  <si>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</si>
  <si>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</si>
  <si>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</si>
  <si>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</si>
  <si>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</si>
  <si>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</si>
  <si>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</si>
  <si>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</si>
  <si>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</si>
  <si>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</si>
  <si>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</si>
  <si>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</si>
  <si>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</si>
  <si>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</si>
  <si>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</si>
  <si>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</si>
  <si>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</si>
  <si>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</si>
  <si>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</si>
  <si>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</si>
  <si>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</si>
  <si>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</si>
  <si>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</si>
  <si>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</si>
  <si>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</si>
  <si>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</si>
  <si>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</si>
  <si>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</si>
  <si>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</si>
  <si>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</si>
  <si>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</si>
  <si>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</si>
  <si>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</si>
  <si>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</si>
  <si>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</si>
  <si>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</si>
  <si>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</si>
  <si>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</si>
  <si>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</si>
  <si>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</si>
  <si>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</si>
  <si>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</si>
  <si>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</si>
  <si>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</si>
  <si>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</si>
  <si>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</si>
  <si>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</si>
  <si>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</si>
  <si>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</si>
  <si>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</si>
  <si>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</si>
  <si>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</si>
  <si>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</si>
  <si>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</si>
  <si>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</si>
  <si>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</si>
  <si>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</si>
  <si>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</si>
  <si>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</si>
  <si>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</si>
  <si>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</si>
  <si>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</si>
  <si>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</si>
  <si>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</si>
  <si>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</si>
  <si>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</si>
  <si>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</si>
  <si>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</si>
  <si>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</si>
  <si>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</si>
  <si>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</si>
  <si>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</si>
  <si>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</si>
  <si>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</si>
  <si>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</si>
  <si>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</si>
  <si>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</si>
  <si>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</si>
  <si>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</si>
  <si>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</si>
  <si>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</si>
  <si>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</si>
  <si>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</si>
  <si>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</si>
  <si>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</si>
  <si>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</si>
  <si>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</si>
  <si>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</si>
  <si>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</si>
  <si>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</si>
  <si>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</si>
  <si>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</si>
  <si>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</si>
  <si>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</si>
  <si>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</si>
  <si>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</si>
  <si>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</si>
  <si>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</si>
  <si>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</si>
  <si>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</si>
  <si>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</si>
  <si>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</si>
  <si>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</si>
  <si>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</si>
  <si>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</si>
  <si>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</si>
  <si>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</si>
  <si>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</si>
  <si>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</si>
  <si>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</si>
  <si>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</si>
  <si>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</si>
  <si>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</si>
  <si>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</si>
  <si>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</si>
  <si>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</si>
  <si>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</si>
  <si>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</si>
  <si>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</si>
  <si>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</si>
  <si>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</si>
  <si>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</si>
  <si>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</si>
  <si>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</si>
  <si>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</si>
  <si>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</si>
  <si>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</si>
  <si>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</si>
  <si>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</si>
  <si>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</si>
  <si>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</si>
  <si>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</si>
  <si>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</si>
  <si>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</si>
  <si>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</si>
  <si>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</si>
  <si>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</si>
  <si>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</si>
  <si>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</si>
  <si>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</si>
  <si>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</si>
  <si>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</si>
  <si>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</si>
  <si>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</si>
  <si>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</si>
  <si>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</si>
  <si>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</si>
  <si>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</si>
  <si>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</si>
  <si>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</si>
  <si>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</si>
  <si>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</si>
  <si>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</si>
  <si>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</si>
  <si>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</si>
  <si>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</si>
  <si>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</si>
  <si>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</si>
  <si>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</si>
  <si>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</si>
  <si>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</si>
  <si>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</si>
  <si>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</si>
  <si>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</si>
  <si>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</si>
  <si>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</si>
  <si>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</si>
  <si>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</si>
  <si>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</si>
  <si>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</si>
  <si>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</si>
  <si>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</si>
  <si>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</si>
  <si>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</si>
  <si>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</si>
  <si>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</si>
  <si>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</si>
  <si>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</si>
  <si>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</si>
  <si>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</si>
  <si>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</si>
  <si>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</si>
  <si>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</si>
  <si>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</si>
  <si>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</si>
  <si>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</si>
  <si>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</si>
  <si>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</si>
  <si>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</si>
  <si>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</si>
  <si>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</si>
  <si>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</si>
  <si>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</si>
  <si>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</si>
  <si>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</si>
  <si>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</si>
  <si>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</si>
  <si>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</si>
  <si>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</si>
  <si>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</si>
  <si>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</si>
  <si>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</si>
  <si>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</si>
  <si>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</si>
  <si>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</si>
  <si>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</si>
  <si>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</si>
  <si>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</si>
  <si>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</si>
  <si>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</si>
  <si>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</si>
  <si>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</si>
  <si>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</si>
  <si>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</si>
  <si>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</si>
  <si>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</si>
  <si>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</si>
  <si>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</si>
  <si>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</si>
  <si>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</si>
  <si>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</si>
  <si>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</si>
  <si>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</si>
  <si>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</si>
  <si>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</si>
  <si>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</si>
  <si>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</si>
  <si>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</si>
  <si>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</si>
  <si>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</si>
  <si>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</si>
  <si>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</si>
  <si>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</si>
  <si>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</si>
  <si>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</si>
  <si>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</si>
  <si>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</si>
  <si>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</si>
  <si>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</si>
  <si>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</si>
  <si>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</si>
  <si>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</si>
  <si>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</si>
  <si>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</si>
  <si>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</si>
  <si>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</si>
  <si>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</si>
  <si>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</si>
  <si>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</si>
  <si>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</si>
  <si>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</si>
  <si>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</si>
  <si>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</si>
  <si>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</si>
  <si>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</si>
  <si>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</si>
  <si>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</si>
  <si>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</si>
  <si>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</si>
  <si>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</si>
  <si>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</si>
  <si>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</si>
  <si>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</si>
  <si>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</si>
  <si>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</si>
  <si>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</si>
  <si>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</si>
  <si>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</si>
  <si>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</si>
  <si>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</si>
  <si>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</si>
  <si>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</si>
  <si>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</si>
  <si>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</si>
  <si>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</si>
  <si>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</si>
  <si>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</si>
  <si>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</si>
  <si>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</si>
  <si>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</si>
  <si>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</si>
  <si>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</si>
  <si>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</si>
  <si>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</si>
  <si>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</si>
  <si>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</si>
  <si>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</si>
  <si>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</si>
  <si>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</si>
  <si>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</si>
  <si>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</si>
  <si>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</si>
  <si>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</si>
  <si>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</si>
  <si>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</si>
  <si>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</si>
  <si>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</si>
  <si>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</si>
  <si>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</si>
  <si>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</si>
  <si>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</si>
  <si>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</si>
  <si>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</si>
  <si>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</si>
  <si>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</si>
  <si>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</si>
  <si>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</si>
  <si>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</si>
  <si>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</si>
  <si>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</si>
  <si>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</si>
  <si>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</si>
  <si>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</si>
  <si>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</si>
  <si>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</si>
  <si>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</si>
  <si>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</si>
  <si>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</si>
  <si>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</si>
  <si>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</si>
  <si>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</si>
  <si>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</si>
  <si>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</si>
  <si>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</si>
  <si>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</si>
  <si>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</si>
  <si>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</si>
  <si>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</si>
  <si>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</si>
  <si>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</si>
  <si>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</si>
  <si>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</si>
  <si>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</si>
  <si>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</si>
  <si>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</si>
  <si>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</si>
  <si>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</si>
  <si>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</si>
  <si>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</si>
  <si>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</si>
  <si>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</si>
  <si>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</si>
  <si>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</si>
  <si>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</si>
  <si>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</si>
  <si>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</si>
  <si>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</si>
  <si>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</si>
  <si>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</si>
  <si>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</si>
  <si>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</si>
  <si>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</si>
  <si>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</si>
  <si>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</si>
  <si>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</si>
  <si>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</si>
  <si>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</si>
  <si>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</si>
  <si>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</si>
  <si>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</si>
  <si>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</si>
  <si>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</si>
  <si>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</si>
  <si>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</si>
  <si>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</si>
  <si>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</si>
  <si>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</si>
  <si>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</si>
  <si>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</si>
  <si>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</si>
  <si>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</si>
  <si>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</si>
  <si>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</si>
  <si>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</si>
  <si>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</si>
  <si>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</si>
  <si>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</si>
  <si>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</si>
  <si>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</si>
  <si>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</si>
  <si>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</si>
  <si>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</si>
  <si>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</si>
  <si>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</si>
  <si>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</si>
  <si>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</si>
  <si>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</si>
  <si>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</si>
  <si>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</si>
  <si>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</si>
  <si>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</si>
  <si>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</si>
  <si>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</si>
  <si>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</si>
  <si>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</si>
  <si>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</si>
  <si>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</si>
  <si>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</si>
  <si>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</si>
  <si>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</si>
  <si>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</si>
  <si>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</si>
  <si>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</si>
  <si>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</si>
  <si>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</si>
  <si>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</si>
  <si>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</si>
  <si>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</si>
  <si>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</si>
  <si>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</si>
  <si>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</si>
  <si>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</si>
  <si>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</si>
  <si>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</si>
  <si>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</si>
  <si>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</si>
  <si>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</si>
  <si>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</si>
  <si>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</si>
  <si>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</si>
  <si>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</si>
  <si>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</si>
  <si>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</si>
  <si>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</si>
  <si>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</si>
  <si>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</si>
  <si>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</si>
  <si>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</si>
  <si>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</si>
  <si>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</si>
  <si>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</si>
  <si>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</si>
  <si>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</si>
  <si>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</si>
  <si>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</si>
  <si>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</si>
  <si>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</si>
  <si>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</si>
  <si>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</si>
  <si>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</si>
  <si>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</si>
  <si>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</si>
  <si>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</si>
  <si>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</si>
  <si>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</si>
  <si>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</si>
  <si>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</si>
  <si>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</si>
  <si>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</si>
  <si>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</si>
  <si>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</si>
  <si>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</si>
  <si>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</si>
  <si>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</si>
  <si>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</si>
  <si>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</si>
  <si>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</si>
  <si>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</si>
  <si>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</si>
  <si>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</si>
  <si>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</si>
  <si>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</si>
  <si>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</si>
  <si>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</si>
  <si>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</si>
  <si>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</si>
  <si>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</si>
  <si>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</si>
  <si>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</si>
  <si>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</si>
  <si>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</si>
  <si>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</si>
  <si>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</si>
  <si>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</si>
  <si>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</si>
  <si>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</si>
  <si>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</si>
  <si>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</si>
  <si>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</si>
  <si>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</si>
  <si>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</si>
  <si>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</si>
  <si>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</si>
  <si>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</si>
  <si>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</si>
  <si>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</si>
  <si>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</si>
  <si>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</si>
  <si>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</si>
  <si>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</si>
  <si>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</si>
  <si>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</si>
  <si>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</si>
  <si>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</si>
  <si>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</si>
  <si>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</si>
  <si>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</si>
  <si>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</si>
  <si>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</si>
  <si>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</si>
  <si>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</si>
  <si>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</si>
  <si>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</si>
  <si>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</si>
  <si>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</si>
  <si>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</si>
  <si>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</si>
  <si>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</si>
  <si>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</si>
  <si>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</si>
  <si>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</si>
  <si>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</si>
  <si>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</si>
  <si>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</si>
  <si>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</si>
  <si>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</si>
  <si>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</si>
  <si>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</si>
  <si>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</si>
  <si>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</si>
  <si>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</si>
  <si>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</si>
  <si>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</si>
  <si>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</si>
  <si>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</si>
  <si>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</si>
  <si>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</si>
  <si>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</si>
  <si>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</si>
  <si>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</si>
  <si>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</si>
  <si>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</si>
  <si>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</si>
  <si>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</si>
  <si>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</si>
  <si>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</si>
  <si>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</si>
  <si>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</si>
  <si>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</si>
  <si>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</si>
  <si>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</si>
  <si>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</si>
  <si>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</si>
  <si>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</si>
  <si>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</si>
  <si>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</si>
  <si>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</si>
  <si>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</si>
  <si>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</si>
  <si>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</si>
  <si>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</si>
  <si>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</si>
  <si>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</si>
  <si>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</si>
  <si>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</si>
  <si>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</si>
  <si>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</si>
  <si>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</si>
  <si>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</si>
  <si>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</si>
  <si>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</si>
  <si>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</si>
  <si>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</si>
  <si>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</si>
  <si>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</si>
  <si>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</si>
  <si>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</si>
  <si>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</si>
  <si>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</si>
  <si>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</si>
  <si>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</si>
  <si>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</si>
  <si>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</si>
  <si>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</si>
  <si>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</si>
  <si>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</si>
  <si>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</si>
  <si>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</si>
  <si>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</si>
  <si>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</si>
  <si>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</si>
  <si>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</si>
  <si>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</si>
  <si>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</si>
  <si>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</si>
  <si>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</si>
  <si>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</si>
  <si>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</si>
  <si>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</si>
  <si>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</si>
  <si>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</si>
  <si>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</si>
  <si>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</si>
  <si>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</si>
  <si>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</si>
  <si>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</si>
  <si>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</si>
  <si>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</si>
  <si>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</si>
  <si>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</si>
  <si>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</si>
  <si>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</si>
  <si>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</si>
  <si>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</si>
  <si>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</si>
  <si>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</si>
  <si>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</si>
  <si>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</si>
  <si>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</si>
  <si>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</si>
  <si>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</si>
  <si>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</si>
  <si>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</si>
  <si>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</si>
  <si>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</si>
  <si>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</si>
  <si>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</si>
  <si>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</si>
  <si>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</si>
  <si>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</si>
  <si>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</si>
  <si>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</si>
  <si>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</si>
  <si>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</si>
  <si>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</si>
  <si>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</si>
  <si>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</si>
  <si>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</si>
  <si>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</si>
  <si>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</si>
  <si>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</si>
  <si>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</si>
  <si>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</si>
  <si>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</si>
  <si>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</si>
  <si>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</si>
  <si>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</si>
  <si>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</si>
  <si>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</si>
  <si>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</si>
  <si>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</si>
  <si>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</si>
  <si>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</si>
  <si>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</si>
  <si>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</si>
  <si>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</si>
  <si>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</si>
  <si>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</si>
  <si>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</si>
  <si>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</si>
  <si>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</si>
  <si>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</si>
  <si>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</si>
  <si>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</si>
  <si>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</si>
  <si>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</si>
  <si>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</si>
  <si>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</si>
  <si>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</si>
  <si>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</si>
  <si>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</si>
  <si>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</si>
  <si>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</si>
  <si>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</si>
  <si>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</si>
  <si>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</si>
  <si>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</si>
  <si>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</si>
  <si>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</si>
  <si>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</si>
  <si>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</si>
  <si>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</si>
  <si>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</si>
  <si>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</si>
  <si>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</si>
  <si>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</si>
  <si>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</si>
  <si>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</si>
  <si>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</si>
  <si>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</si>
  <si>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</si>
  <si>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</si>
  <si>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</si>
  <si>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</si>
  <si>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</si>
  <si>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</si>
  <si>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</si>
  <si>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</si>
  <si>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</si>
  <si>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</si>
  <si>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</si>
  <si>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</si>
  <si>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</si>
  <si>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</si>
  <si>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</si>
  <si>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</si>
  <si>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</si>
  <si>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</si>
  <si>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</si>
  <si>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</si>
  <si>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</si>
  <si>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</si>
  <si>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</si>
  <si>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</si>
  <si>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</si>
  <si>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</si>
  <si>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</si>
  <si>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</si>
  <si>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</si>
  <si>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</si>
  <si>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</si>
  <si>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</si>
  <si>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</si>
  <si>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</si>
  <si>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</si>
  <si>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</si>
  <si>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</si>
  <si>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</si>
  <si>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</si>
  <si>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</si>
  <si>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</si>
  <si>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</si>
  <si>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</si>
  <si>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</si>
  <si>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</si>
  <si>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</si>
  <si>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</si>
  <si>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</si>
  <si>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</si>
  <si>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</si>
  <si>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</si>
  <si>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</si>
  <si>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</si>
  <si>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</si>
  <si>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</si>
  <si>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</si>
  <si>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</si>
  <si>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</si>
  <si>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</si>
  <si>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</si>
  <si>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</si>
  <si>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</si>
  <si>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</si>
  <si>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</si>
  <si>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</si>
  <si>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</si>
  <si>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</si>
  <si>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</si>
  <si>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</si>
  <si>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</si>
  <si>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</si>
  <si>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</si>
  <si>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</si>
  <si>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</si>
  <si>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</si>
  <si>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</si>
  <si>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</si>
  <si>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</si>
  <si>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</si>
  <si>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</si>
  <si>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</si>
  <si>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</si>
  <si>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</si>
  <si>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</si>
  <si>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</si>
  <si>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</si>
  <si>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</si>
  <si>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</si>
  <si>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</si>
  <si>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</si>
  <si>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</si>
  <si>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</si>
  <si>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</si>
  <si>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</si>
  <si>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</si>
  <si>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</si>
  <si>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</si>
  <si>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</si>
  <si>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</si>
  <si>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</si>
  <si>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</si>
  <si>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</si>
  <si>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</si>
  <si>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</si>
  <si>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</si>
  <si>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</si>
  <si>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</si>
  <si>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</si>
  <si>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</si>
  <si>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</si>
  <si>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</si>
  <si>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</si>
  <si>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</si>
  <si>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</si>
  <si>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</si>
  <si>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</si>
  <si>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</si>
  <si>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</si>
  <si>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</si>
  <si>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</si>
  <si>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</si>
  <si>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</si>
  <si>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</si>
  <si>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</si>
  <si>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</si>
  <si>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</si>
  <si>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</si>
  <si>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</si>
  <si>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</si>
  <si>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</si>
  <si>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</si>
  <si>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</si>
  <si>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</si>
  <si>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</si>
  <si>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</si>
  <si>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</si>
  <si>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</si>
  <si>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</si>
  <si>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</si>
  <si>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</si>
  <si>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</si>
  <si>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</si>
  <si>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</si>
  <si>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</si>
  <si>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</si>
  <si>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</si>
  <si>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</si>
  <si>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</si>
  <si>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</si>
  <si>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</si>
  <si>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</si>
  <si>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</si>
  <si>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</si>
  <si>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</si>
  <si>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</si>
  <si>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</si>
  <si>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</si>
  <si>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</si>
  <si>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</si>
  <si>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</si>
  <si>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</si>
  <si>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</si>
  <si>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</si>
  <si>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</si>
  <si>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</si>
  <si>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</si>
  <si>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</si>
  <si>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</si>
  <si>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</si>
  <si>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</si>
  <si>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</si>
  <si>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</si>
  <si>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</si>
  <si>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</si>
  <si>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</si>
  <si>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</si>
  <si>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</si>
  <si>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</si>
  <si>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</si>
  <si>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</si>
  <si>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</si>
  <si>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</si>
  <si>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</si>
  <si>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</si>
  <si>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</si>
  <si>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</si>
  <si>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</si>
  <si>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</si>
  <si>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</si>
  <si>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</si>
  <si>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</si>
  <si>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</si>
  <si>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</si>
  <si>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</si>
  <si>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</si>
  <si>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</si>
  <si>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</si>
  <si>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</si>
  <si>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</si>
  <si>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</si>
  <si>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</si>
  <si>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</si>
  <si>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</si>
  <si>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</si>
  <si>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</si>
  <si>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</si>
  <si>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</si>
  <si>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</si>
  <si>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</si>
  <si>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</si>
  <si>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</si>
  <si>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</si>
  <si>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</si>
  <si>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</si>
  <si>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</si>
  <si>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</si>
  <si>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</si>
  <si>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</si>
  <si>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</si>
  <si>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</si>
  <si>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</si>
  <si>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</si>
  <si>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</si>
  <si>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</si>
  <si>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</si>
  <si>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</si>
  <si>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</si>
  <si>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</si>
  <si>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</si>
  <si>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</si>
  <si>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</si>
  <si>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</si>
  <si>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</si>
  <si>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</si>
  <si>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</si>
  <si>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</si>
  <si>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</si>
  <si>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</si>
  <si>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</si>
  <si>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</si>
  <si>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</si>
  <si>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</si>
  <si>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</si>
  <si>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</si>
  <si>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</si>
  <si>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</si>
  <si>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</si>
  <si>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</si>
  <si>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</si>
  <si>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</si>
  <si>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</si>
  <si>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</si>
  <si>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</si>
  <si>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</si>
  <si>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</si>
  <si>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</si>
  <si>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</si>
  <si>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</si>
  <si>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</si>
  <si>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</si>
  <si>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</si>
  <si>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</si>
  <si>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</si>
  <si>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</si>
  <si>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</si>
  <si>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</si>
  <si>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</si>
  <si>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</si>
  <si>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</si>
  <si>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</si>
  <si>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</si>
  <si>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</si>
  <si>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</si>
  <si>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</si>
  <si>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</si>
  <si>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</si>
  <si>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</si>
  <si>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</si>
  <si>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</si>
  <si>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</si>
  <si>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</si>
  <si>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</si>
  <si>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</si>
  <si>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</si>
  <si>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</si>
  <si>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</si>
  <si>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</si>
  <si>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</si>
  <si>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</si>
  <si>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</si>
  <si>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</si>
  <si>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</si>
  <si>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</si>
  <si>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</si>
  <si>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</si>
  <si>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</si>
  <si>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</si>
  <si>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</si>
  <si>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</si>
  <si>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</si>
  <si>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</si>
  <si>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</si>
  <si>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</si>
  <si>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</si>
  <si>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</si>
  <si>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</si>
  <si>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</si>
  <si>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</si>
  <si>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</si>
  <si>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</si>
  <si>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</si>
  <si>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</si>
  <si>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</si>
  <si>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</si>
  <si>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</si>
  <si>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</si>
  <si>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</si>
  <si>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</si>
  <si>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</si>
  <si>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</si>
  <si>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</si>
  <si>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</si>
  <si>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</si>
  <si>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</si>
  <si>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</si>
  <si>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</si>
  <si>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</si>
  <si>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</si>
  <si>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</si>
  <si>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</si>
  <si>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</si>
  <si>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</si>
  <si>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</si>
  <si>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</si>
  <si>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</si>
  <si>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</si>
  <si>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</si>
  <si>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</si>
  <si>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</si>
  <si>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</si>
  <si>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</si>
  <si>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</si>
  <si>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</si>
  <si>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</si>
  <si>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</si>
  <si>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</si>
  <si>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</si>
  <si>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</si>
  <si>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</si>
  <si>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</si>
  <si>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</si>
  <si>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</si>
  <si>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</si>
  <si>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</si>
  <si>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</si>
  <si>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</si>
  <si>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</si>
  <si>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</si>
  <si>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</si>
  <si>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</si>
  <si>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</si>
  <si>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</si>
  <si>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</si>
  <si>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</si>
  <si>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</si>
  <si>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</si>
  <si>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</si>
  <si>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</si>
  <si>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</si>
  <si>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</si>
  <si>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</si>
  <si>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</si>
  <si>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</si>
  <si>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</si>
  <si>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</si>
  <si>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</si>
  <si>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</si>
  <si>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</si>
  <si>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</si>
  <si>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</si>
  <si>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</si>
  <si>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</si>
  <si>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</si>
  <si>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</si>
  <si>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</si>
  <si>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</si>
  <si>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</si>
  <si>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</si>
  <si>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</si>
  <si>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</si>
  <si>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</si>
  <si>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</si>
  <si>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</si>
  <si>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</si>
  <si>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</si>
  <si>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</si>
  <si>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</si>
  <si>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</si>
  <si>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</si>
  <si>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</si>
  <si>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</si>
  <si>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</si>
  <si>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</si>
  <si>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</si>
  <si>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</si>
  <si>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</si>
  <si>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</si>
  <si>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</si>
  <si>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</si>
  <si>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</si>
  <si>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</si>
  <si>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</si>
  <si>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</si>
  <si>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</si>
  <si>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</si>
  <si>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</si>
  <si>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</si>
  <si>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</si>
  <si>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</si>
  <si>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</si>
  <si>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</si>
  <si>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</si>
  <si>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</si>
  <si>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</si>
  <si>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</si>
  <si>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</si>
  <si>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</si>
  <si>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</si>
  <si>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</si>
  <si>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</si>
  <si>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</si>
  <si>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</si>
  <si>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</si>
  <si>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</si>
  <si>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</si>
  <si>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</si>
  <si>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</si>
  <si>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</si>
  <si>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</si>
  <si>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</si>
  <si>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</si>
  <si>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</si>
  <si>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</si>
  <si>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</si>
  <si>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</si>
  <si>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</si>
  <si>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</si>
  <si>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</si>
  <si>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</si>
  <si>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</si>
  <si>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</si>
  <si>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</si>
  <si>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</si>
  <si>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</si>
  <si>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</si>
  <si>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</si>
  <si>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</si>
  <si>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</si>
  <si>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</si>
  <si>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</si>
  <si>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</si>
  <si>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</si>
  <si>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</si>
  <si>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</si>
  <si>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</si>
  <si>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</si>
  <si>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</si>
  <si>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</si>
  <si>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</si>
  <si>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</si>
  <si>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</si>
  <si>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</si>
  <si>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</si>
  <si>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</si>
  <si>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</si>
  <si>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</si>
  <si>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</si>
  <si>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</si>
  <si>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</si>
  <si>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</si>
  <si>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</si>
  <si>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</si>
  <si>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</si>
  <si>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</si>
  <si>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</si>
  <si>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</si>
  <si>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</si>
  <si>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</si>
  <si>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</si>
  <si>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</si>
  <si>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</si>
  <si>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</si>
  <si>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</si>
  <si>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</si>
  <si>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</si>
  <si>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</si>
  <si>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</si>
  <si>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</si>
  <si>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</si>
  <si>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</si>
  <si>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</si>
  <si>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</si>
  <si>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</si>
  <si>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</si>
  <si>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</si>
  <si>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</si>
  <si>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</si>
  <si>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</si>
  <si>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</si>
  <si>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</si>
  <si>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</si>
  <si>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</si>
  <si>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</si>
  <si>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</si>
  <si>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</si>
  <si>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</si>
  <si>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</si>
  <si>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</si>
  <si>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</si>
  <si>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</si>
  <si>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</si>
  <si>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</si>
  <si>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</si>
  <si>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</si>
  <si>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</si>
  <si>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</si>
  <si>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</si>
  <si>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</si>
  <si>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</si>
  <si>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</si>
  <si>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</si>
  <si>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</si>
  <si>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</si>
  <si>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</si>
  <si>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</si>
  <si>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</si>
  <si>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</si>
  <si>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</si>
  <si>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</si>
  <si>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</si>
  <si>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</si>
  <si>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</si>
  <si>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</si>
  <si>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</si>
  <si>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</si>
  <si>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</si>
  <si>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</si>
  <si>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</si>
  <si>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</si>
  <si>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</si>
  <si>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</si>
  <si>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</si>
  <si>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</si>
  <si>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</si>
  <si>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</si>
  <si>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</si>
  <si>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</si>
  <si>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</si>
  <si>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</si>
  <si>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</si>
  <si>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</si>
  <si>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</si>
  <si>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</si>
  <si>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</si>
  <si>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</si>
  <si>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</si>
  <si>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</si>
  <si>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</si>
  <si>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</si>
  <si>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</si>
  <si>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</si>
  <si>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</si>
  <si>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</si>
  <si>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</si>
  <si>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</si>
  <si>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</si>
  <si>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</si>
  <si>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</si>
  <si>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</si>
  <si>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</si>
  <si>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</si>
  <si>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</si>
  <si>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</si>
  <si>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</si>
  <si>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</si>
  <si>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</si>
  <si>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</si>
  <si>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</si>
  <si>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</si>
  <si>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</si>
  <si>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</si>
  <si>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</si>
  <si>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</si>
  <si>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</si>
  <si>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</si>
  <si>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</si>
  <si>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</si>
  <si>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</si>
  <si>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</si>
  <si>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</si>
  <si>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</si>
  <si>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</si>
  <si>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</si>
  <si>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</si>
  <si>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</si>
  <si>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</si>
  <si>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</si>
  <si>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</si>
  <si>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</si>
  <si>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</si>
  <si>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</si>
  <si>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</si>
  <si>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</si>
  <si>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</si>
  <si>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</si>
  <si>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</si>
  <si>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</si>
  <si>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</si>
  <si>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</si>
  <si>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</si>
  <si>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</si>
  <si>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</si>
  <si>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</si>
  <si>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</si>
  <si>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</si>
  <si>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</si>
  <si>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</si>
  <si>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</si>
  <si>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</si>
  <si>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</si>
  <si>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</si>
  <si>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</si>
  <si>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</si>
  <si>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</si>
  <si>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</si>
  <si>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</si>
  <si>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</si>
  <si>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</si>
  <si>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</si>
  <si>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</si>
  <si>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</si>
  <si>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</si>
  <si>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</si>
  <si>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</si>
  <si>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</si>
  <si>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</si>
  <si>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</si>
  <si>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</si>
  <si>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</si>
  <si>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</si>
  <si>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</si>
  <si>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</si>
  <si>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</si>
  <si>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</si>
  <si>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</si>
  <si>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</si>
  <si>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</si>
  <si>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</si>
  <si>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</si>
  <si>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</si>
  <si>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</si>
  <si>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</si>
  <si>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</si>
  <si>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</si>
  <si>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</si>
  <si>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</si>
  <si>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</si>
  <si>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</si>
  <si>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</si>
  <si>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</si>
  <si>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</si>
  <si>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</si>
  <si>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</si>
  <si>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</si>
  <si>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</si>
  <si>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</si>
  <si>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</si>
  <si>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</si>
  <si>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</si>
  <si>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</si>
  <si>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</si>
  <si>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</si>
  <si>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</si>
  <si>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</si>
  <si>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</si>
  <si>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</si>
  <si>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</si>
  <si>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</si>
  <si>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</si>
  <si>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</si>
  <si>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</si>
  <si>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</si>
  <si>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</si>
  <si>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</si>
  <si>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</si>
  <si>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</si>
  <si>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</si>
  <si>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</si>
  <si>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</si>
  <si>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</si>
  <si>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</si>
  <si>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</si>
  <si>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</si>
  <si>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</si>
  <si>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</si>
  <si>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</si>
  <si>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</si>
  <si>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</si>
  <si>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</si>
  <si>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</si>
  <si>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</si>
  <si>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</si>
  <si>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</si>
  <si>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</si>
  <si>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</si>
  <si>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</si>
  <si>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</si>
  <si>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</si>
  <si>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</si>
  <si>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</si>
  <si>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</si>
  <si>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</si>
  <si>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</si>
  <si>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</si>
  <si>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</si>
  <si>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</si>
  <si>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</si>
  <si>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</si>
  <si>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</si>
  <si>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</si>
  <si>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</si>
  <si>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</si>
  <si>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</si>
  <si>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</si>
  <si>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</si>
  <si>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</si>
  <si>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</si>
  <si>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</si>
  <si>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</si>
  <si>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</si>
  <si>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</si>
  <si>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</si>
  <si>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</si>
  <si>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</si>
  <si>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</si>
  <si>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</si>
  <si>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</si>
  <si>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</si>
  <si>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</si>
  <si>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</si>
  <si>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</si>
  <si>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</si>
  <si>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</si>
  <si>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</si>
  <si>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</si>
  <si>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</si>
  <si>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</si>
  <si>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</si>
  <si>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</si>
  <si>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</si>
  <si>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</si>
  <si>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</si>
  <si>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</si>
  <si>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</si>
  <si>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</si>
  <si>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</si>
  <si>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</si>
  <si>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</si>
  <si>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</si>
  <si>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</si>
  <si>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</si>
  <si>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</si>
  <si>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</si>
  <si>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</si>
  <si>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</si>
  <si>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</si>
  <si>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</si>
  <si>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</si>
  <si>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</si>
  <si>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</si>
  <si>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</si>
  <si>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</si>
  <si>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</si>
  <si>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</si>
  <si>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</si>
  <si>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</si>
  <si>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</si>
  <si>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</si>
  <si>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</si>
  <si>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</si>
  <si>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</si>
  <si>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</si>
  <si>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</si>
  <si>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</si>
  <si>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</si>
  <si>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</si>
  <si>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</si>
  <si>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</si>
  <si>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</si>
  <si>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</si>
  <si>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</si>
  <si>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</si>
  <si>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</si>
  <si>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</si>
  <si>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</si>
  <si>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</si>
  <si>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</si>
  <si>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</si>
  <si>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</si>
  <si>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</si>
  <si>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</si>
  <si>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</si>
  <si>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</si>
  <si>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</si>
  <si>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</si>
  <si>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</si>
  <si>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</si>
  <si>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</si>
  <si>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</si>
  <si>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</si>
  <si>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</si>
  <si>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</si>
  <si>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</si>
  <si>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</si>
  <si>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</si>
  <si>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</si>
  <si>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</si>
  <si>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</si>
  <si>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</si>
  <si>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</si>
  <si>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</si>
  <si>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</si>
  <si>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</si>
  <si>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</si>
  <si>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</si>
  <si>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</si>
  <si>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</si>
  <si>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</si>
  <si>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</si>
  <si>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</si>
  <si>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</si>
  <si>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</si>
  <si>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</si>
  <si>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</si>
  <si>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</si>
  <si>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</si>
  <si>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</si>
  <si>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</si>
  <si>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</si>
  <si>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</si>
  <si>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</si>
  <si>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</si>
  <si>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</si>
  <si>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</si>
  <si>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</si>
  <si>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</si>
  <si>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</si>
  <si>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</si>
  <si>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</si>
  <si>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</si>
  <si>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</si>
  <si>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</si>
  <si>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</si>
  <si>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</si>
  <si>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</si>
  <si>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</si>
  <si>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</si>
  <si>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</si>
  <si>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</si>
  <si>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</si>
  <si>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</si>
  <si>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</si>
  <si>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</si>
  <si>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</si>
  <si>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</si>
  <si>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</si>
  <si>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</si>
  <si>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</si>
  <si>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</si>
  <si>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</si>
  <si>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</si>
  <si>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</si>
  <si>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</si>
  <si>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</si>
  <si>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</si>
  <si>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</si>
  <si>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</si>
  <si>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</si>
  <si>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</si>
  <si>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</si>
  <si>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</si>
  <si>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</si>
  <si>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</si>
  <si>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</si>
  <si>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</si>
  <si>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</si>
  <si>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</si>
  <si>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</si>
  <si>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</si>
  <si>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</si>
  <si>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</si>
  <si>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</si>
  <si>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</si>
  <si>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</si>
  <si>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</si>
  <si>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</si>
  <si>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</si>
  <si>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</si>
  <si>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</si>
  <si>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</si>
  <si>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</si>
  <si>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</si>
  <si>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</si>
  <si>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</si>
  <si>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</si>
  <si>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</si>
  <si>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</si>
  <si>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</si>
  <si>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</si>
  <si>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</si>
  <si>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</si>
  <si>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</si>
  <si>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</si>
  <si>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</si>
  <si>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</si>
  <si>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</si>
  <si>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</si>
  <si>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</si>
  <si>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</si>
  <si>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</si>
  <si>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</si>
  <si>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</si>
  <si>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</si>
  <si>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</si>
  <si>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</si>
  <si>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</si>
  <si>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</si>
  <si>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</si>
  <si>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</si>
  <si>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</si>
  <si>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</si>
  <si>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</si>
  <si>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</si>
  <si>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</si>
  <si>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</si>
  <si>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</si>
  <si>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</si>
  <si>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</si>
  <si>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</si>
  <si>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</si>
  <si>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</si>
  <si>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</si>
  <si>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</si>
  <si>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</si>
  <si>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</si>
  <si>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</si>
  <si>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</si>
  <si>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</si>
  <si>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</si>
  <si>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</si>
  <si>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</si>
  <si>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</si>
  <si>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</si>
  <si>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</si>
  <si>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</si>
  <si>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</si>
  <si>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</si>
  <si>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</si>
  <si>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</si>
  <si>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</si>
  <si>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</si>
  <si>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</si>
  <si>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</si>
  <si>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</si>
  <si>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</si>
  <si>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</si>
  <si>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</si>
  <si>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</si>
  <si>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</si>
  <si>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</si>
  <si>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</si>
  <si>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</si>
  <si>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</si>
  <si>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</si>
  <si>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</si>
  <si>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</si>
  <si>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</si>
  <si>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</si>
  <si>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</si>
  <si>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</si>
  <si>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</si>
  <si>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</si>
  <si>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</si>
  <si>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</si>
  <si>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</si>
  <si>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</si>
  <si>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</si>
  <si>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</si>
  <si>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</si>
  <si>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</si>
  <si>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</si>
  <si>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</si>
  <si>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</si>
  <si>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</si>
  <si>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</si>
  <si>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</si>
  <si>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</si>
  <si>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</si>
  <si>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</si>
  <si>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</si>
  <si>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</si>
  <si>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</si>
  <si>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</si>
  <si>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</si>
  <si>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</si>
  <si>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</si>
  <si>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</si>
  <si>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</si>
  <si>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</si>
  <si>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</si>
  <si>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</si>
  <si>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</si>
  <si>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</si>
  <si>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</si>
  <si>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</si>
  <si>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</si>
  <si>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</si>
  <si>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</si>
  <si>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</si>
  <si>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</si>
  <si>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</si>
  <si>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</si>
  <si>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</si>
  <si>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</si>
  <si>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</si>
  <si>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</si>
  <si>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</si>
  <si>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</si>
  <si>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</si>
  <si>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</si>
  <si>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</si>
  <si>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</si>
  <si>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</si>
  <si>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</si>
  <si>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</si>
  <si>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</si>
  <si>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</si>
  <si>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</si>
  <si>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</si>
  <si>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</si>
  <si>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</si>
  <si>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</si>
  <si>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</si>
  <si>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</si>
  <si>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</si>
  <si>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</si>
  <si>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</si>
  <si>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</si>
  <si>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</si>
  <si>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</si>
  <si>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</si>
  <si>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</si>
  <si>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</si>
  <si>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</si>
  <si>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</si>
  <si>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</si>
  <si>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</si>
  <si>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</si>
  <si>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</si>
  <si>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</si>
  <si>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</si>
  <si>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</si>
  <si>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</si>
  <si>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</si>
  <si>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</si>
  <si>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</si>
  <si>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</si>
  <si>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</si>
  <si>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</si>
  <si>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</si>
  <si>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</si>
  <si>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</si>
  <si>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</si>
  <si>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</si>
  <si>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</si>
  <si>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</si>
  <si>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</si>
  <si>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</si>
  <si>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</si>
  <si>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</si>
  <si>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</si>
  <si>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</si>
  <si>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</si>
  <si>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</si>
  <si>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</si>
  <si>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</si>
  <si>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</si>
  <si>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</si>
  <si>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</si>
  <si>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</si>
  <si>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</si>
  <si>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</si>
  <si>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</si>
  <si>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</si>
  <si>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</si>
  <si>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</si>
  <si>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</si>
  <si>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</si>
  <si>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</si>
  <si>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</si>
  <si>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</si>
  <si>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</si>
  <si>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</si>
  <si>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</si>
  <si>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</si>
  <si>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</si>
  <si>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</si>
  <si>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</si>
  <si>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</si>
  <si>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</si>
  <si>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</si>
  <si>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</si>
  <si>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</si>
  <si>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</si>
  <si>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</si>
  <si>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</si>
  <si>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</si>
  <si>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</si>
  <si>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</si>
  <si>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</si>
  <si>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</si>
  <si>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</si>
  <si>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</si>
  <si>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</si>
  <si>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</si>
  <si>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</si>
  <si>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</si>
  <si>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</si>
  <si>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</si>
  <si>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</si>
  <si>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</si>
  <si>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</si>
  <si>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</si>
  <si>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</si>
  <si>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</si>
  <si>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</si>
  <si>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</si>
  <si>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</si>
  <si>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</si>
  <si>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</si>
  <si>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</si>
  <si>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</si>
  <si>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</si>
  <si>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</si>
  <si>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</si>
  <si>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</si>
  <si>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</si>
  <si>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</si>
  <si>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</si>
  <si>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</si>
  <si>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</si>
  <si>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</si>
  <si>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</si>
  <si>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</si>
  <si>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</si>
  <si>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</si>
  <si>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</si>
  <si>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</si>
  <si>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</si>
  <si>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</si>
  <si>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</si>
  <si>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</si>
  <si>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</si>
  <si>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</si>
  <si>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</si>
  <si>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</si>
  <si>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</si>
  <si>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</si>
  <si>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</si>
  <si>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</si>
  <si>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</si>
  <si>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</si>
  <si>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</si>
  <si>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</si>
  <si>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</si>
  <si>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</si>
  <si>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</si>
  <si>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</si>
  <si>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</si>
  <si>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</si>
  <si>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</si>
  <si>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</si>
  <si>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</si>
  <si>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</si>
  <si>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</si>
  <si>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</si>
  <si>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</si>
  <si>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</si>
  <si>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</si>
  <si>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</si>
  <si>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</si>
  <si>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</si>
  <si>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</si>
  <si>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</si>
  <si>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</si>
  <si>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</si>
  <si>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</si>
  <si>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</si>
  <si>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</si>
  <si>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</si>
  <si>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</si>
  <si>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</si>
  <si>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</si>
  <si>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</si>
  <si>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</si>
  <si>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</si>
  <si>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</si>
  <si>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</si>
  <si>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</si>
  <si>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</si>
  <si>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</si>
  <si>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</si>
  <si>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</si>
  <si>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</si>
  <si>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</si>
  <si>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</si>
  <si>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</si>
  <si>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</si>
  <si>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</si>
  <si>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</si>
  <si>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</si>
  <si>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</si>
  <si>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</si>
  <si>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</si>
  <si>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</si>
  <si>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</si>
  <si>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</si>
  <si>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</si>
  <si>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</si>
  <si>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</si>
  <si>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</si>
  <si>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</si>
  <si>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</si>
  <si>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</si>
  <si>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</si>
  <si>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</si>
  <si>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</si>
  <si>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</si>
  <si>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</si>
  <si>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</si>
  <si>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</si>
  <si>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</si>
  <si>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</si>
  <si>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</si>
  <si>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</si>
  <si>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</si>
  <si>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</si>
  <si>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</si>
  <si>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</si>
  <si>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</si>
  <si>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</si>
  <si>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</si>
  <si>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</si>
  <si>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</si>
  <si>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</si>
  <si>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</si>
  <si>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</si>
  <si>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</si>
  <si>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</si>
  <si>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</si>
  <si>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</si>
  <si>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</si>
  <si>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</si>
  <si>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</si>
  <si>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</si>
  <si>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</si>
  <si>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</si>
  <si>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</si>
  <si>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</si>
  <si>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</si>
  <si>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</si>
  <si>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</si>
  <si>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</si>
  <si>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</si>
  <si>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</si>
  <si>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</si>
  <si>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</si>
  <si>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</si>
  <si>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</si>
  <si>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</si>
  <si>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</si>
  <si>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</si>
  <si>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</si>
  <si>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</si>
  <si>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</si>
  <si>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</si>
  <si>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</si>
  <si>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</si>
  <si>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</si>
  <si>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</si>
  <si>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</si>
  <si>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</si>
  <si>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</si>
  <si>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</si>
  <si>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</si>
  <si>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</si>
  <si>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</si>
  <si>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</si>
  <si>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</si>
  <si>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</si>
  <si>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</si>
  <si>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</si>
  <si>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</si>
  <si>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</si>
  <si>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</si>
  <si>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</si>
  <si>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</si>
  <si>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</si>
  <si>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</si>
  <si>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</si>
  <si>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</si>
  <si>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</si>
  <si>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</si>
  <si>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</si>
  <si>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</si>
  <si>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</si>
  <si>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</si>
  <si>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</si>
  <si>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</si>
  <si>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</si>
  <si>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</si>
  <si>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</si>
  <si>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</si>
  <si>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</si>
  <si>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</si>
  <si>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</si>
  <si>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</si>
  <si>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</si>
  <si>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</si>
  <si>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</si>
  <si>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</si>
  <si>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</si>
  <si>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</si>
  <si>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</si>
  <si>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</si>
  <si>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</si>
  <si>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</si>
  <si>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</si>
  <si>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</si>
  <si>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</si>
  <si>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</si>
  <si>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</si>
  <si>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</si>
  <si>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</si>
  <si>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</si>
  <si>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</si>
  <si>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</si>
  <si>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</si>
  <si>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</si>
  <si>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</si>
  <si>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</si>
  <si>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</si>
  <si>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</si>
  <si>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</si>
  <si>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</si>
  <si>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</si>
  <si>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</si>
  <si>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</si>
  <si>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</si>
  <si>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</si>
  <si>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</si>
  <si>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</si>
  <si>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</si>
  <si>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</si>
  <si>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</si>
  <si>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</si>
  <si>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</si>
  <si>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</si>
  <si>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</si>
  <si>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</si>
  <si>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</si>
  <si>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</si>
  <si>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</si>
  <si>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</si>
  <si>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</si>
  <si>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</si>
  <si>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</si>
  <si>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</si>
  <si>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</si>
  <si>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</si>
  <si>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</si>
  <si>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</si>
  <si>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</si>
  <si>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</si>
  <si>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</si>
  <si>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</si>
  <si>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</si>
  <si>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</si>
  <si>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</si>
  <si>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</si>
  <si>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</si>
  <si>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</si>
  <si>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</si>
  <si>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</si>
  <si>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</si>
  <si>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</si>
  <si>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</si>
  <si>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</si>
  <si>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</si>
  <si>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</si>
  <si>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</si>
  <si>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</si>
  <si>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</si>
  <si>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</si>
  <si>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</si>
  <si>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</si>
  <si>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</si>
  <si>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</si>
  <si>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</si>
  <si>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</si>
  <si>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</si>
  <si>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</si>
  <si>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</si>
  <si>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</si>
  <si>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</si>
  <si>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</si>
  <si>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</si>
  <si>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</si>
  <si>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</si>
  <si>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</si>
  <si>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</si>
  <si>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</si>
  <si>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</si>
  <si>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</si>
  <si>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</si>
  <si>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</si>
  <si>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</si>
  <si>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</si>
  <si>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</si>
  <si>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</si>
  <si>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</si>
  <si>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</si>
  <si>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</si>
  <si>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</si>
  <si>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</si>
  <si>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</si>
  <si>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</si>
  <si>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</si>
  <si>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</si>
  <si>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</si>
  <si>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</si>
  <si>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</si>
  <si>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</si>
  <si>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</si>
  <si>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</si>
  <si>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</si>
  <si>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</si>
  <si>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</si>
  <si>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</si>
  <si>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</si>
  <si>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</si>
  <si>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</si>
  <si>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</si>
  <si>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</si>
  <si>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</si>
  <si>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</si>
  <si>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</si>
  <si>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</si>
  <si>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</si>
  <si>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</si>
  <si>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</si>
  <si>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</si>
  <si>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</si>
  <si>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</si>
  <si>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</si>
  <si>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</si>
  <si>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</si>
  <si>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</si>
  <si>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</si>
  <si>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</si>
  <si>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</si>
  <si>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</si>
  <si>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</si>
  <si>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</si>
  <si>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</si>
  <si>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</si>
  <si>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</si>
  <si>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</si>
  <si>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</si>
  <si>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</si>
  <si>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</si>
  <si>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</si>
  <si>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</si>
  <si>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</si>
  <si>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</si>
  <si>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</si>
  <si>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</si>
  <si>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</si>
  <si>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</si>
  <si>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</si>
  <si>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</si>
  <si>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</si>
  <si>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</si>
  <si>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</si>
  <si>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</si>
  <si>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</si>
  <si>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</si>
  <si>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</si>
  <si>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</si>
  <si>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</si>
  <si>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</si>
  <si>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</si>
  <si>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</si>
  <si>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</si>
  <si>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</si>
  <si>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</si>
  <si>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</si>
  <si>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</si>
  <si>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</si>
  <si>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</si>
  <si>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</si>
  <si>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</si>
  <si>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</si>
  <si>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</si>
  <si>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</si>
  <si>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</si>
  <si>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</si>
  <si>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</si>
  <si>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</si>
  <si>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</si>
  <si>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</si>
  <si>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</si>
  <si>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</si>
  <si>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</si>
  <si>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</si>
  <si>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</si>
  <si>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</si>
  <si>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</si>
  <si>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</si>
  <si>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</si>
  <si>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</si>
  <si>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</si>
  <si>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</si>
  <si>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</si>
  <si>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</si>
  <si>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</si>
  <si>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</si>
  <si>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</si>
  <si>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</si>
  <si>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</si>
  <si>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</si>
  <si>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</si>
  <si>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</si>
  <si>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</si>
  <si>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</si>
  <si>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</si>
  <si>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</si>
  <si>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</si>
  <si>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</si>
  <si>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</si>
  <si>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</si>
  <si>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</si>
  <si>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</si>
  <si>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</si>
  <si>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</si>
  <si>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</si>
  <si>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</si>
  <si>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</si>
  <si>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</si>
  <si>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</si>
  <si>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</si>
  <si>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</si>
  <si>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</si>
  <si>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</si>
  <si>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</si>
  <si>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</si>
  <si>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</si>
  <si>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</si>
  <si>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</si>
  <si>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</si>
  <si>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</si>
  <si>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</si>
  <si>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</si>
  <si>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</si>
  <si>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</si>
  <si>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</si>
  <si>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</si>
  <si>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</si>
  <si>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</si>
  <si>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</si>
  <si>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</si>
  <si>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</si>
  <si>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</si>
  <si>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</si>
  <si>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</si>
  <si>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</si>
  <si>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</si>
  <si>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</si>
  <si>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</si>
  <si>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</si>
  <si>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</si>
  <si>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</si>
  <si>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</si>
  <si>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</si>
  <si>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</si>
  <si>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</si>
  <si>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</si>
  <si>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</si>
  <si>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</si>
  <si>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</si>
  <si>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</si>
  <si>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</si>
  <si>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</si>
  <si>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</si>
  <si>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</si>
  <si>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</si>
  <si>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</si>
  <si>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</si>
  <si>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</si>
  <si>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</si>
  <si>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</si>
  <si>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</si>
  <si>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</si>
  <si>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</si>
  <si>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</si>
  <si>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</si>
  <si>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</si>
  <si>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</si>
  <si>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</si>
  <si>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</si>
  <si>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</si>
  <si>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</si>
  <si>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</si>
  <si>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</si>
  <si>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</si>
  <si>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</si>
  <si>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</si>
  <si>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</si>
  <si>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</si>
  <si>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</si>
  <si>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</si>
  <si>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</si>
  <si>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</si>
  <si>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</si>
  <si>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</si>
  <si>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</si>
  <si>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</si>
  <si>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</si>
  <si>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</si>
  <si>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</si>
  <si>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</si>
  <si>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</si>
  <si>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</si>
  <si>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</si>
  <si>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</si>
  <si>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</si>
  <si>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</si>
  <si>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</si>
  <si>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</si>
  <si>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</si>
  <si>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</si>
  <si>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</si>
  <si>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</si>
  <si>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</si>
  <si>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</si>
  <si>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</si>
  <si>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</si>
  <si>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</si>
  <si>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</si>
  <si>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</si>
  <si>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</si>
  <si>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</si>
  <si>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</si>
  <si>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</si>
  <si>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</si>
  <si>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</si>
  <si>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</si>
  <si>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</si>
  <si>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</si>
  <si>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</si>
  <si>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</si>
  <si>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</si>
  <si>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</si>
  <si>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</si>
  <si>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</si>
  <si>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</si>
  <si>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</si>
  <si>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</si>
  <si>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</si>
  <si>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</si>
  <si>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</si>
  <si>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</si>
  <si>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</si>
  <si>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</si>
  <si>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</si>
  <si>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</si>
  <si>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</si>
  <si>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</si>
  <si>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</si>
  <si>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</si>
  <si>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</si>
  <si>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</si>
  <si>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</si>
  <si>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</si>
  <si>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</si>
  <si>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</si>
  <si>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</si>
  <si>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</si>
  <si>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</si>
  <si>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</si>
  <si>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</si>
  <si>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</si>
  <si>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</si>
  <si>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</si>
  <si>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</si>
  <si>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</si>
  <si>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</si>
  <si>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</si>
  <si>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</si>
  <si>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</si>
  <si>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</si>
  <si>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</si>
  <si>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</si>
  <si>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</si>
  <si>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</si>
  <si>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</si>
  <si>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</si>
  <si>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</si>
  <si>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</si>
  <si>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</si>
  <si>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</si>
  <si>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</si>
  <si>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</si>
  <si>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</si>
  <si>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</si>
  <si>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</si>
  <si>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</si>
  <si>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</si>
  <si>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</si>
  <si>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</si>
  <si>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</si>
  <si>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</si>
  <si>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</si>
  <si>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</si>
  <si>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</si>
  <si>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</si>
  <si>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</si>
  <si>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</si>
  <si>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</si>
  <si>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</si>
  <si>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</si>
  <si>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</si>
  <si>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</si>
  <si>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</si>
  <si>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</si>
  <si>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</si>
  <si>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</si>
  <si>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</si>
  <si>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</si>
  <si>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</si>
  <si>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</si>
  <si>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</si>
  <si>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</si>
  <si>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</si>
  <si>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</si>
  <si>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</si>
  <si>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</si>
  <si>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</si>
  <si>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</si>
  <si>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</si>
  <si>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</si>
  <si>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</si>
  <si>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</si>
  <si>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</si>
  <si>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</si>
  <si>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</si>
  <si>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</si>
  <si>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</si>
  <si>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</si>
  <si>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</si>
  <si>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</si>
  <si>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</si>
  <si>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</si>
  <si>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</si>
  <si>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</si>
  <si>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</si>
  <si>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</si>
  <si>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</si>
  <si>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</si>
  <si>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</si>
  <si>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</si>
  <si>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</si>
  <si>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</si>
  <si>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</si>
  <si>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</si>
  <si>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</si>
  <si>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</si>
  <si>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</si>
  <si>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</si>
  <si>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</si>
  <si>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</si>
  <si>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</si>
  <si>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</si>
  <si>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</si>
  <si>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</si>
  <si>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</si>
  <si>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</si>
  <si>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</si>
  <si>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</si>
  <si>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</si>
  <si>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</si>
  <si>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</si>
  <si>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</si>
  <si>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</si>
  <si>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</si>
  <si>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</si>
  <si>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</si>
  <si>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</si>
  <si>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</si>
  <si>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</si>
  <si>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</si>
  <si>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</si>
  <si>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</si>
  <si>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</si>
  <si>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</si>
  <si>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</si>
  <si>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</si>
  <si>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</si>
  <si>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</si>
  <si>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</si>
  <si>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</si>
  <si>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</si>
  <si>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</si>
  <si>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</si>
  <si>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</si>
  <si>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</si>
  <si>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</si>
  <si>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</si>
  <si>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</si>
  <si>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</si>
  <si>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</si>
  <si>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</si>
  <si>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</si>
  <si>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</si>
  <si>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</si>
  <si>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</si>
  <si>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</si>
  <si>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</si>
  <si>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</si>
  <si>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</si>
  <si>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</si>
  <si>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</si>
  <si>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</si>
  <si>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</si>
  <si>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</si>
  <si>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</si>
  <si>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</si>
  <si>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</si>
  <si>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</si>
  <si>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</si>
  <si>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</si>
  <si>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</si>
  <si>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</si>
  <si>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</si>
  <si>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</si>
  <si>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</si>
  <si>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</si>
  <si>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</si>
  <si>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</si>
  <si>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</si>
  <si>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</si>
  <si>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</si>
  <si>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</si>
  <si>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</si>
  <si>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</si>
  <si>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</si>
  <si>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</si>
  <si>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</si>
  <si>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</si>
  <si>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</si>
  <si>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</si>
  <si>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</si>
  <si>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</si>
  <si>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</si>
  <si>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</si>
  <si>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</si>
  <si>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</si>
  <si>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</si>
  <si>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</si>
  <si>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</si>
  <si>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</si>
  <si>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</si>
  <si>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</si>
  <si>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</si>
  <si>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</si>
  <si>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</si>
  <si>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</si>
  <si>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</si>
  <si>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</si>
  <si>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</si>
  <si>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</si>
  <si>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</si>
  <si>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</si>
  <si>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</si>
  <si>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</si>
  <si>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</si>
  <si>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</si>
  <si>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</si>
  <si>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</si>
  <si>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</si>
  <si>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</si>
  <si>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</si>
  <si>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</si>
  <si>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</si>
  <si>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</si>
  <si>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</si>
  <si>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</si>
  <si>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</si>
  <si>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</si>
  <si>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</si>
  <si>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</si>
  <si>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</si>
  <si>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</si>
  <si>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</si>
  <si>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</si>
  <si>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</si>
  <si>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</si>
  <si>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</si>
  <si>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</si>
  <si>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</si>
  <si>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</si>
  <si>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</si>
  <si>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</si>
  <si>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</si>
  <si>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</si>
  <si>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</si>
  <si>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</si>
  <si>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</si>
  <si>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</si>
  <si>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</si>
  <si>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</si>
  <si>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</si>
  <si>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</si>
  <si>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</si>
  <si>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</si>
  <si>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</si>
  <si>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</si>
  <si>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</si>
  <si>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</si>
  <si>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</si>
  <si>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</si>
  <si>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</si>
  <si>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</si>
  <si>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</si>
  <si>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</si>
  <si>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</si>
  <si>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</si>
  <si>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</si>
  <si>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</si>
  <si>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</si>
  <si>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</si>
  <si>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</si>
  <si>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</si>
  <si>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</si>
  <si>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</si>
  <si>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</si>
  <si>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</si>
  <si>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</si>
  <si>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</si>
  <si>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</si>
  <si>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</si>
  <si>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</si>
  <si>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</si>
  <si>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</si>
  <si>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</si>
  <si>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</si>
  <si>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</si>
  <si>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</si>
  <si>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</si>
  <si>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</si>
  <si>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</si>
  <si>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</si>
  <si>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</si>
  <si>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</si>
  <si>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</si>
  <si>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</si>
  <si>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</si>
  <si>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</si>
  <si>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</si>
  <si>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</si>
  <si>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</si>
  <si>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</si>
  <si>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</si>
  <si>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</si>
  <si>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</si>
  <si>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</si>
  <si>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</si>
  <si>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</si>
  <si>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</si>
  <si>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</si>
  <si>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</si>
  <si>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</si>
  <si>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</si>
  <si>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</si>
  <si>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</si>
  <si>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</si>
  <si>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</si>
  <si>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</si>
  <si>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</si>
  <si>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</si>
  <si>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</si>
  <si>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</si>
  <si>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</si>
  <si>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</si>
  <si>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</si>
  <si>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</si>
  <si>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</si>
  <si>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</si>
  <si>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</si>
  <si>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</si>
  <si>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</si>
  <si>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</si>
  <si>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</si>
  <si>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</si>
  <si>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</si>
  <si>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</si>
  <si>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</si>
  <si>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</si>
  <si>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</si>
  <si>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</si>
  <si>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</si>
  <si>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</si>
  <si>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</si>
  <si>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</si>
  <si>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</si>
  <si>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</si>
  <si>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</si>
  <si>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</si>
  <si>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</si>
  <si>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</si>
  <si>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</si>
  <si>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</si>
  <si>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</si>
  <si>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</si>
  <si>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</si>
  <si>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</si>
  <si>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</si>
  <si>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</si>
  <si>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</si>
  <si>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</si>
  <si>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</si>
  <si>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</si>
  <si>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</si>
  <si>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</si>
  <si>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</si>
  <si>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</si>
  <si>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</si>
  <si>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</si>
  <si>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</si>
  <si>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</si>
  <si>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</si>
  <si>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</si>
  <si>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</si>
  <si>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</si>
  <si>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</si>
  <si>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</si>
  <si>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</si>
  <si>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</si>
  <si>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</si>
  <si>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</si>
  <si>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</si>
  <si>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</si>
  <si>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</si>
  <si>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</si>
  <si>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</si>
  <si>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</si>
  <si>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</si>
  <si>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</si>
  <si>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</si>
  <si>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</si>
  <si>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</si>
  <si>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</si>
  <si>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</si>
  <si>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</si>
  <si>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</si>
  <si>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</si>
  <si>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</si>
  <si>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</si>
  <si>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</si>
  <si>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</si>
  <si>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</si>
  <si>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</si>
  <si>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</si>
  <si>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</si>
  <si>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</si>
  <si>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</si>
  <si>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</si>
  <si>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</si>
  <si>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</si>
  <si>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</si>
  <si>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</si>
  <si>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</si>
  <si>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</si>
  <si>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</si>
  <si>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</si>
  <si>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</si>
  <si>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</si>
  <si>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</si>
  <si>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</si>
  <si>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</si>
  <si>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</si>
  <si>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</si>
  <si>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</si>
  <si>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</si>
  <si>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</si>
  <si>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</si>
  <si>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</si>
  <si>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</si>
  <si>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</si>
  <si>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</si>
  <si>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</si>
  <si>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</si>
  <si>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</si>
  <si>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</si>
  <si>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</si>
  <si>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</si>
  <si>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</si>
  <si>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</si>
  <si>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</si>
  <si>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</si>
  <si>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</si>
  <si>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</si>
  <si>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</si>
  <si>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</si>
  <si>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</si>
  <si>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</si>
  <si>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</si>
  <si>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</si>
  <si>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</si>
  <si>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</si>
  <si>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</si>
  <si>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</si>
  <si>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</si>
  <si>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</si>
  <si>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</si>
  <si>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</si>
  <si>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</si>
  <si>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</si>
  <si>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</si>
  <si>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</si>
  <si>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</si>
  <si>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</si>
  <si>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</si>
  <si>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</si>
  <si>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</si>
  <si>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</si>
  <si>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</si>
  <si>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</si>
  <si>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</si>
  <si>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</si>
  <si>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</si>
  <si>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</si>
  <si>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</si>
  <si>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</si>
  <si>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</si>
  <si>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</si>
  <si>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</si>
  <si>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</si>
  <si>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</si>
  <si>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</si>
  <si>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</si>
  <si>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</si>
  <si>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</si>
  <si>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</si>
  <si>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</si>
  <si>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</si>
  <si>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</si>
  <si>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</si>
  <si>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</si>
  <si>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</si>
  <si>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</si>
  <si>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</si>
  <si>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</si>
  <si>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</si>
  <si>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</si>
  <si>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</si>
  <si>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</si>
  <si>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</si>
  <si>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</si>
  <si>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</si>
  <si>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</si>
  <si>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</si>
  <si>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</si>
  <si>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</si>
  <si>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</si>
  <si>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</si>
  <si>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</si>
  <si>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</si>
  <si>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</si>
  <si>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</si>
  <si>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</si>
  <si>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</si>
  <si>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</si>
  <si>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</si>
  <si>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</si>
  <si>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</si>
  <si>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</si>
  <si>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</si>
  <si>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</si>
  <si>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</si>
  <si>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</si>
  <si>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</si>
  <si>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</si>
  <si>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</si>
  <si>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</si>
  <si>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</si>
  <si>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</si>
  <si>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</si>
  <si>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</si>
  <si>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</si>
  <si>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</si>
  <si>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</si>
  <si>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</si>
  <si>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</si>
  <si>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</si>
  <si>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</si>
  <si>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</si>
  <si>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</si>
  <si>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</si>
  <si>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</si>
  <si>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</si>
  <si>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</si>
  <si>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</si>
  <si>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</si>
  <si>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</si>
  <si>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</si>
  <si>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</si>
  <si>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</si>
  <si>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</si>
  <si>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</si>
  <si>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</si>
  <si>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</si>
  <si>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</si>
  <si>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</si>
  <si>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</si>
  <si>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</si>
  <si>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</si>
  <si>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</si>
  <si>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</si>
  <si>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</si>
  <si>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</si>
  <si>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</si>
  <si>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</si>
  <si>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</si>
  <si>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</si>
  <si>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</si>
  <si>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</si>
  <si>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</si>
  <si>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</si>
  <si>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</si>
  <si>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</si>
  <si>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</si>
  <si>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</si>
  <si>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</si>
  <si>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</si>
  <si>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</si>
  <si>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</si>
  <si>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</si>
  <si>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</si>
  <si>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</si>
  <si>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</si>
  <si>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</si>
  <si>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</si>
  <si>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</si>
  <si>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</si>
  <si>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</si>
  <si>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</si>
  <si>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</si>
  <si>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</si>
  <si>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</si>
  <si>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</si>
  <si>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</si>
  <si>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</si>
  <si>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</si>
  <si>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</si>
  <si>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</si>
  <si>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</si>
  <si>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</si>
  <si>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</si>
  <si>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</si>
  <si>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</si>
  <si>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</si>
  <si>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</si>
  <si>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</si>
  <si>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</si>
  <si>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</si>
  <si>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</si>
  <si>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</si>
  <si>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</si>
  <si>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</si>
  <si>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</si>
  <si>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</si>
  <si>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</si>
  <si>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</si>
  <si>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</si>
  <si>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</si>
  <si>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</si>
  <si>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</si>
  <si>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</si>
  <si>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</si>
  <si>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</si>
  <si>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</si>
  <si>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</si>
  <si>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</si>
  <si>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</si>
  <si>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</si>
  <si>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</si>
  <si>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</si>
  <si>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</si>
  <si>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</si>
  <si>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</si>
  <si>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</si>
  <si>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</si>
  <si>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</si>
  <si>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</si>
  <si>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</si>
  <si>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</si>
  <si>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</si>
  <si>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</si>
  <si>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</si>
  <si>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</si>
  <si>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</si>
  <si>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</si>
  <si>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</si>
  <si>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</si>
  <si>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</si>
  <si>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</si>
  <si>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</si>
  <si>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</si>
  <si>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</si>
  <si>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</si>
  <si>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</si>
  <si>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</si>
  <si>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</si>
  <si>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</si>
  <si>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</si>
  <si>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</si>
  <si>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</si>
  <si>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</si>
  <si>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</si>
  <si>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</si>
  <si>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</si>
  <si>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</si>
  <si>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</si>
  <si>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</si>
  <si>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</si>
  <si>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</si>
  <si>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</si>
  <si>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</si>
  <si>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</si>
  <si>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</si>
  <si>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</si>
  <si>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</si>
  <si>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</si>
  <si>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</si>
  <si>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</si>
  <si>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</si>
  <si>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</si>
  <si>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</si>
  <si>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</si>
  <si>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</si>
  <si>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</si>
  <si>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</si>
  <si>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</si>
  <si>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</si>
  <si>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</si>
  <si>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</si>
  <si>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</si>
  <si>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</si>
  <si>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</si>
  <si>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</si>
  <si>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</si>
  <si>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</si>
  <si>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</si>
  <si>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</si>
  <si>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</si>
  <si>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</si>
  <si>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</si>
  <si>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</si>
  <si>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</si>
  <si>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</si>
  <si>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</si>
  <si>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</si>
  <si>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</si>
  <si>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</si>
  <si>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</si>
  <si>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</si>
  <si>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</si>
  <si>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</si>
  <si>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</si>
  <si>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</si>
  <si>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</si>
  <si>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</si>
  <si>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</si>
  <si>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</si>
  <si>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</si>
  <si>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</si>
  <si>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</si>
  <si>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</si>
  <si>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</si>
  <si>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</si>
  <si>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</si>
  <si>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</si>
  <si>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</si>
  <si>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</si>
  <si>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</si>
  <si>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</si>
  <si>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</si>
  <si>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</si>
  <si>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</si>
  <si>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</si>
  <si>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</si>
  <si>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</si>
  <si>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</si>
  <si>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</si>
  <si>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</si>
  <si>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</si>
  <si>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</si>
  <si>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</si>
  <si>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</si>
  <si>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</si>
  <si>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</si>
  <si>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</si>
  <si>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</si>
  <si>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</si>
  <si>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</si>
  <si>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</si>
  <si>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</si>
  <si>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</si>
  <si>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</si>
  <si>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</si>
  <si>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</si>
  <si>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</si>
  <si>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</si>
  <si>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</si>
  <si>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</si>
  <si>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</si>
  <si>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</si>
  <si>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</si>
  <si>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</si>
  <si>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</si>
  <si>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</si>
  <si>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</si>
  <si>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</si>
  <si>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</si>
  <si>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</si>
  <si>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</si>
  <si>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</si>
  <si>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</si>
  <si>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</si>
  <si>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</si>
  <si>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</si>
  <si>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</si>
  <si>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</si>
  <si>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</si>
  <si>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</si>
  <si>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</si>
  <si>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</si>
  <si>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</si>
  <si>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</si>
  <si>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</si>
  <si>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</si>
  <si>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</si>
  <si>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</si>
  <si>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</si>
  <si>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</si>
  <si>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</si>
  <si>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</si>
  <si>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</si>
  <si>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</si>
  <si>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</si>
  <si>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</si>
  <si>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</si>
  <si>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</si>
  <si>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</si>
  <si>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</si>
  <si>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</si>
  <si>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</si>
  <si>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</si>
  <si>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</si>
  <si>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</si>
  <si>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</si>
  <si>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</si>
  <si>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</si>
  <si>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</si>
  <si>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</si>
  <si>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</si>
  <si>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</si>
  <si>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</si>
  <si>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</si>
  <si>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</si>
  <si>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</si>
  <si>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</si>
  <si>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</si>
  <si>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</si>
  <si>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</si>
  <si>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</si>
  <si>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</si>
  <si>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</si>
  <si>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</si>
  <si>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</si>
  <si>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</si>
  <si>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</si>
  <si>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</si>
  <si>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</si>
  <si>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</si>
  <si>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</si>
  <si>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</si>
  <si>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</si>
  <si>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</si>
  <si>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</si>
  <si>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</si>
  <si>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</si>
  <si>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</si>
  <si>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</si>
  <si>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</si>
  <si>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</si>
  <si>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</si>
  <si>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</si>
  <si>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</si>
  <si>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</si>
  <si>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</si>
  <si>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</si>
  <si>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</si>
  <si>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</si>
  <si>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</si>
  <si>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</si>
  <si>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</si>
  <si>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</si>
  <si>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</si>
  <si>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</si>
  <si>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</si>
  <si>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</si>
  <si>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</si>
  <si>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</si>
  <si>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</si>
  <si>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</si>
  <si>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</si>
  <si>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</si>
  <si>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</si>
  <si>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</si>
  <si>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</si>
  <si>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</si>
  <si>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</si>
  <si>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</si>
  <si>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</si>
  <si>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</si>
  <si>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</si>
  <si>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</si>
  <si>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</si>
  <si>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</si>
  <si>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</si>
  <si>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</si>
  <si>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</si>
  <si>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</si>
  <si>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</si>
  <si>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</si>
  <si>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</si>
  <si>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</si>
  <si>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</si>
  <si>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</si>
  <si>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</si>
  <si>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</si>
  <si>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</si>
  <si>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</si>
  <si>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</si>
  <si>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</si>
  <si>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</si>
  <si>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</si>
  <si>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</si>
  <si>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</si>
  <si>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</si>
  <si>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</si>
  <si>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</si>
  <si>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</si>
  <si>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</si>
  <si>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</si>
  <si>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</si>
  <si>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</si>
  <si>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</si>
  <si>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</si>
  <si>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</si>
  <si>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</si>
  <si>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</si>
  <si>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</si>
  <si>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</si>
  <si>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</si>
  <si>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</si>
  <si>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</si>
  <si>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</si>
  <si>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</si>
  <si>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</si>
  <si>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</si>
  <si>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</si>
  <si>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</si>
  <si>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</si>
  <si>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</si>
  <si>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</si>
  <si>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</si>
  <si>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</si>
  <si>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</si>
  <si>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</si>
  <si>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</si>
  <si>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</si>
  <si>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</si>
  <si>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</si>
  <si>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</si>
  <si>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</si>
  <si>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</si>
  <si>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</si>
  <si>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</si>
  <si>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</si>
  <si>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</si>
  <si>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</si>
  <si>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</si>
  <si>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</si>
  <si>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</si>
  <si>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</si>
  <si>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</si>
  <si>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</si>
  <si>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</si>
  <si>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</si>
  <si>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</si>
  <si>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</si>
  <si>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</si>
  <si>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</si>
  <si>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</si>
  <si>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</si>
  <si>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</si>
  <si>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</si>
  <si>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</si>
  <si>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</si>
  <si>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</si>
  <si>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</si>
  <si>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</si>
  <si>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</si>
  <si>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</si>
  <si>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</si>
  <si>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</si>
  <si>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</si>
  <si>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</si>
  <si>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</si>
  <si>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</si>
  <si>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</si>
  <si>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</si>
  <si>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</si>
  <si>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</si>
  <si>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</si>
  <si>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</si>
  <si>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</si>
  <si>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</si>
  <si>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</si>
  <si>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</si>
  <si>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</si>
  <si>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</si>
  <si>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</si>
  <si>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</si>
  <si>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</si>
  <si>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</si>
  <si>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</si>
  <si>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</si>
  <si>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</si>
  <si>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</si>
  <si>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</si>
  <si>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</si>
  <si>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</si>
  <si>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</si>
  <si>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</si>
  <si>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</si>
  <si>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</si>
  <si>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</si>
  <si>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</si>
  <si>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</si>
  <si>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</si>
  <si>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</si>
  <si>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</si>
  <si>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</si>
  <si>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</si>
  <si>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</si>
  <si>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</si>
  <si>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</si>
  <si>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</si>
  <si>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</si>
  <si>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</si>
  <si>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</si>
  <si>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</si>
  <si>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</si>
  <si>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</si>
  <si>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</si>
  <si>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</si>
  <si>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</si>
  <si>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</si>
  <si>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</si>
  <si>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</si>
  <si>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</si>
  <si>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</si>
  <si>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</si>
  <si>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</si>
  <si>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</si>
  <si>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</si>
  <si>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</si>
  <si>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</si>
  <si>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</si>
  <si>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</si>
  <si>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</si>
  <si>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</si>
  <si>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</si>
  <si>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</si>
  <si>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</si>
  <si>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</si>
  <si>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</si>
  <si>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</si>
  <si>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</si>
  <si>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</si>
  <si>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</si>
  <si>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</si>
  <si>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</si>
  <si>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</si>
  <si>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</si>
  <si>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</si>
  <si>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</si>
  <si>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</si>
  <si>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</si>
  <si>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</si>
  <si>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</si>
  <si>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</si>
  <si>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</si>
  <si>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</si>
  <si>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</si>
  <si>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</si>
  <si>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</si>
  <si>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</si>
  <si>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</si>
  <si>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</si>
  <si>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</si>
  <si>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</si>
  <si>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</si>
  <si>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</si>
  <si>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</si>
  <si>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</si>
  <si>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</si>
  <si>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</si>
  <si>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</si>
  <si>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</si>
  <si>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</si>
  <si>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</si>
  <si>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</si>
  <si>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</si>
  <si>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</si>
  <si>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</si>
  <si>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</si>
  <si>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</si>
  <si>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</si>
  <si>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</si>
  <si>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</si>
  <si>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</si>
  <si>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</si>
  <si>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</si>
  <si>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</si>
  <si>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</si>
  <si>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</si>
  <si>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</si>
  <si>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</si>
  <si>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</si>
  <si>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</si>
  <si>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</si>
  <si>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</si>
  <si>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</si>
  <si>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</si>
  <si>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</si>
  <si>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</si>
  <si>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</si>
  <si>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</si>
  <si>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</si>
  <si>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</si>
  <si>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</si>
  <si>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</si>
  <si>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</si>
  <si>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</si>
  <si>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</si>
  <si>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</si>
  <si>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</si>
  <si>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</si>
  <si>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</si>
  <si>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</si>
  <si>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</si>
  <si>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</si>
  <si>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</si>
  <si>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</si>
  <si>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</si>
  <si>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</si>
  <si>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</si>
  <si>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</si>
  <si>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</si>
  <si>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</si>
  <si>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</si>
  <si>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</si>
  <si>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</si>
  <si>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</si>
  <si>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</si>
  <si>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</si>
  <si>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</si>
  <si>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</si>
  <si>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</si>
  <si>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</si>
  <si>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</si>
  <si>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</si>
  <si>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</si>
  <si>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</si>
  <si>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</si>
  <si>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</si>
  <si>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</si>
  <si>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</si>
  <si>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</si>
  <si>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</si>
  <si>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</si>
  <si>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</si>
  <si>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</si>
  <si>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</si>
  <si>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</si>
  <si>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</si>
  <si>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</si>
  <si>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</si>
  <si>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</si>
  <si>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</si>
  <si>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</si>
  <si>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</si>
  <si>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</si>
  <si>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</si>
  <si>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</si>
  <si>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</si>
  <si>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</si>
  <si>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</si>
  <si>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</si>
  <si>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</si>
  <si>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</si>
  <si>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</si>
  <si>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</si>
  <si>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</si>
  <si>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</si>
  <si>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</si>
  <si>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</si>
  <si>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</si>
  <si>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</si>
  <si>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</si>
  <si>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</si>
  <si>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</si>
  <si>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</si>
  <si>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</si>
  <si>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</si>
  <si>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</si>
  <si>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</si>
  <si>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</si>
  <si>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</si>
  <si>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</si>
  <si>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</si>
  <si>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</si>
  <si>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</si>
  <si>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</si>
  <si>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</si>
  <si>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</si>
  <si>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</si>
  <si>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</si>
  <si>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</si>
  <si>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</si>
  <si>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</si>
  <si>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</si>
  <si>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</si>
  <si>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</si>
  <si>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</si>
  <si>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</si>
  <si>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</si>
  <si>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</si>
  <si>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</si>
  <si>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</si>
  <si>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</si>
  <si>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</si>
  <si>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</si>
  <si>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</si>
  <si>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</si>
  <si>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</si>
  <si>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</si>
  <si>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</si>
  <si>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</si>
  <si>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</si>
  <si>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</si>
  <si>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</si>
  <si>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</si>
  <si>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</si>
  <si>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</si>
  <si>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</si>
  <si>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</si>
  <si>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</si>
  <si>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</si>
  <si>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</si>
  <si>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</si>
  <si>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</si>
  <si>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</si>
  <si>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</si>
  <si>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</si>
  <si>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</si>
  <si>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</si>
  <si>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</si>
  <si>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</si>
  <si>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</si>
  <si>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</si>
  <si>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</si>
  <si>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</si>
  <si>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</si>
  <si>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</si>
  <si>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</si>
  <si>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</si>
  <si>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</si>
  <si>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</si>
  <si>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</si>
  <si>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</si>
  <si>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</si>
  <si>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</si>
  <si>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</si>
  <si>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</si>
  <si>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</si>
  <si>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</si>
  <si>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</si>
  <si>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</si>
  <si>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</si>
  <si>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</si>
  <si>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</si>
  <si>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</si>
  <si>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</si>
  <si>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</si>
  <si>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</si>
  <si>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</si>
  <si>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</si>
  <si>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</si>
  <si>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</si>
  <si>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</si>
  <si>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</si>
  <si>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</si>
  <si>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</si>
  <si>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</si>
  <si>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</si>
  <si>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</si>
  <si>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</si>
  <si>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</si>
  <si>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</si>
  <si>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</si>
  <si>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</si>
  <si>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</si>
  <si>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</si>
  <si>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</si>
  <si>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</si>
  <si>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</si>
  <si>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</si>
  <si>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</si>
  <si>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</si>
  <si>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</si>
  <si>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</si>
  <si>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</si>
  <si>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</si>
  <si>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</si>
  <si>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</si>
  <si>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</si>
  <si>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</si>
  <si>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</si>
  <si>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</si>
  <si>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</si>
  <si>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</si>
  <si>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</si>
  <si>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</si>
  <si>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</si>
  <si>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</si>
  <si>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</si>
  <si>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</si>
  <si>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</si>
  <si>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</si>
  <si>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</si>
  <si>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</si>
  <si>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</si>
  <si>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</si>
  <si>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</si>
  <si>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</si>
  <si>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</si>
  <si>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</si>
  <si>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</si>
  <si>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</si>
  <si>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</si>
  <si>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</si>
  <si>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</si>
  <si>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</si>
  <si>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</si>
  <si>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</si>
  <si>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</si>
  <si>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</si>
  <si>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</si>
  <si>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</si>
  <si>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</si>
  <si>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</si>
  <si>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</si>
  <si>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</si>
  <si>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</si>
  <si>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</si>
  <si>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</si>
  <si>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</si>
  <si>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</si>
  <si>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</si>
  <si>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</si>
  <si>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</si>
  <si>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</si>
  <si>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</si>
  <si>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</si>
  <si>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</si>
  <si>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</si>
  <si>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</si>
  <si>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</si>
  <si>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</si>
  <si>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</si>
  <si>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</si>
  <si>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</si>
  <si>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</si>
  <si>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</si>
  <si>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</si>
  <si>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</si>
  <si>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</si>
  <si>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</si>
  <si>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</si>
  <si>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</si>
  <si>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</si>
  <si>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</si>
  <si>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</si>
  <si>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</si>
  <si>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</si>
  <si>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</si>
  <si>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</si>
  <si>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</si>
  <si>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</si>
  <si>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</si>
  <si>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</si>
  <si>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</si>
  <si>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</si>
  <si>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</si>
  <si>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</si>
  <si>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</si>
  <si>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</si>
  <si>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</si>
  <si>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</si>
  <si>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</si>
  <si>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</si>
  <si>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</si>
  <si>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</si>
  <si>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</si>
  <si>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</si>
  <si>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</si>
  <si>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</si>
  <si>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</si>
  <si>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</si>
  <si>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</si>
  <si>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</si>
  <si>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</si>
  <si>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</si>
  <si>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</si>
  <si>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</si>
  <si>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</si>
  <si>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</si>
  <si>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</si>
  <si>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</si>
  <si>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</si>
  <si>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</si>
  <si>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</si>
  <si>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</si>
  <si>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</si>
  <si>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</si>
  <si>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</si>
  <si>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</si>
  <si>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</si>
  <si>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</si>
  <si>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</si>
  <si>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</si>
  <si>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</si>
  <si>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</si>
  <si>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</si>
  <si>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</si>
  <si>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</si>
  <si>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</si>
  <si>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</si>
  <si>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</si>
  <si>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</si>
  <si>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</si>
  <si>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</si>
  <si>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</si>
  <si>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</si>
  <si>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</si>
  <si>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</si>
  <si>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</si>
  <si>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</si>
  <si>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</si>
  <si>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</si>
  <si>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</si>
  <si>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</si>
  <si>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</si>
  <si>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</si>
  <si>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</si>
  <si>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</si>
  <si>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</si>
  <si>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</si>
  <si>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</si>
  <si>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</si>
  <si>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</si>
  <si>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</si>
  <si>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</si>
  <si>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</si>
  <si>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</si>
  <si>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</si>
  <si>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</si>
  <si>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</si>
  <si>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</si>
  <si>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</si>
  <si>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</si>
  <si>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</si>
  <si>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</si>
  <si>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</si>
  <si>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</si>
  <si>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</si>
  <si>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</si>
  <si>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</si>
  <si>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</si>
  <si>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</si>
  <si>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</si>
  <si>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</si>
  <si>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</si>
  <si>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</si>
  <si>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</si>
  <si>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</si>
  <si>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</si>
  <si>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</si>
  <si>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</si>
  <si>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</si>
  <si>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</si>
  <si>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</si>
  <si>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</si>
  <si>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</si>
  <si>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</si>
  <si>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</si>
  <si>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</si>
  <si>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</si>
  <si>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</si>
  <si>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</si>
  <si>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</si>
  <si>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</si>
  <si>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</si>
  <si>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</si>
  <si>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</si>
  <si>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</si>
  <si>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</si>
  <si>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</si>
  <si>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</si>
  <si>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</si>
  <si>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</si>
  <si>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</si>
  <si>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</si>
  <si>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</si>
  <si>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</si>
  <si>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</si>
  <si>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</si>
  <si>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</si>
  <si>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</si>
  <si>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</si>
  <si>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</si>
  <si>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</si>
  <si>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</si>
  <si>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</si>
  <si>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</si>
  <si>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</si>
  <si>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</si>
  <si>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</si>
  <si>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</si>
  <si>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</si>
  <si>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</si>
  <si>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</si>
  <si>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</si>
  <si>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</si>
  <si>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</si>
  <si>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</si>
  <si>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</si>
  <si>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</si>
  <si>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</si>
  <si>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</si>
  <si>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</si>
  <si>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</si>
  <si>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</si>
  <si>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</si>
  <si>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</si>
  <si>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</si>
  <si>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</si>
  <si>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</si>
  <si>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</si>
  <si>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</si>
  <si>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</si>
  <si>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</si>
  <si>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</si>
  <si>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</si>
  <si>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</si>
  <si>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</si>
  <si>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</si>
  <si>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</si>
  <si>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</si>
  <si>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</si>
  <si>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</si>
  <si>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</si>
  <si>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</si>
  <si>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</si>
  <si>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</si>
  <si>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</si>
  <si>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</si>
  <si>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</si>
  <si>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</si>
  <si>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</si>
  <si>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</si>
  <si>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</si>
  <si>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</si>
  <si>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</si>
  <si>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</si>
  <si>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</si>
  <si>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</si>
  <si>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</si>
  <si>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</si>
  <si>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</si>
  <si>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</si>
  <si>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</si>
  <si>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</si>
  <si>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</si>
  <si>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</si>
  <si>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</si>
  <si>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</si>
  <si>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</si>
  <si>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</si>
  <si>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</si>
  <si>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</si>
  <si>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</si>
  <si>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</si>
  <si>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</si>
  <si>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</si>
  <si>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</si>
  <si>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</si>
  <si>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</si>
  <si>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</si>
  <si>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</si>
  <si>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</si>
  <si>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</si>
  <si>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</si>
  <si>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</si>
  <si>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</si>
  <si>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</si>
  <si>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</si>
  <si>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</si>
  <si>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</si>
  <si>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</si>
  <si>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</si>
  <si>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</si>
  <si>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</si>
  <si>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</si>
  <si>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</si>
  <si>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</si>
  <si>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</si>
  <si>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</si>
  <si>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</si>
  <si>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</si>
  <si>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</si>
  <si>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</si>
  <si>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</si>
  <si>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</si>
  <si>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</si>
  <si>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</si>
  <si>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</si>
  <si>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</si>
  <si>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</si>
  <si>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</si>
  <si>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</si>
  <si>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</si>
  <si>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</si>
  <si>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</si>
  <si>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</si>
  <si>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</si>
  <si>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</si>
  <si>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</si>
  <si>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</si>
  <si>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</si>
  <si>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</si>
  <si>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</si>
  <si>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</si>
  <si>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</si>
  <si>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</si>
  <si>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</si>
  <si>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</si>
  <si>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</si>
  <si>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</si>
  <si>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</si>
  <si>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</si>
  <si>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</si>
  <si>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</si>
  <si>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</si>
  <si>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</si>
  <si>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</si>
  <si>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</si>
  <si>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</si>
  <si>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</si>
  <si>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</si>
  <si>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</si>
  <si>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</si>
  <si>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</si>
  <si>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</si>
  <si>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</si>
  <si>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</si>
  <si>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</si>
  <si>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</si>
  <si>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</si>
  <si>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</si>
  <si>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</si>
  <si>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</si>
  <si>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</si>
  <si>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</si>
  <si>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</si>
  <si>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</si>
  <si>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</si>
  <si>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</si>
  <si>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</si>
  <si>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</si>
  <si>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</si>
  <si>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</si>
  <si>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</si>
  <si>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</si>
  <si>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</si>
  <si>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</si>
  <si>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</si>
  <si>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</si>
  <si>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</si>
  <si>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</si>
  <si>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</si>
  <si>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</si>
  <si>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</si>
  <si>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</si>
  <si>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</si>
  <si>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</si>
  <si>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</si>
  <si>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</si>
  <si>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</si>
  <si>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</si>
  <si>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</si>
  <si>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</si>
  <si>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</si>
  <si>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</si>
  <si>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</si>
  <si>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</si>
  <si>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</si>
  <si>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</si>
  <si>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</si>
  <si>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</si>
  <si>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</si>
  <si>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</si>
  <si>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</si>
  <si>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</si>
  <si>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</si>
  <si>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</si>
  <si>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</si>
  <si>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</si>
  <si>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</si>
  <si>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</si>
  <si>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</si>
  <si>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</si>
  <si>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</si>
  <si>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</si>
  <si>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</si>
  <si>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</si>
  <si>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</si>
  <si>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</si>
  <si>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</si>
  <si>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</si>
  <si>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</si>
  <si>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</si>
  <si>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</si>
  <si>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</si>
  <si>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</si>
  <si>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</si>
  <si>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</si>
  <si>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</si>
  <si>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</si>
  <si>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</si>
  <si>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</si>
  <si>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</si>
  <si>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</si>
  <si>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</si>
  <si>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</si>
  <si>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</si>
  <si>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</si>
  <si>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</si>
  <si>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</si>
  <si>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</si>
  <si>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</si>
  <si>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</si>
  <si>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</si>
  <si>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</si>
  <si>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</si>
  <si>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</si>
  <si>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</si>
  <si>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</si>
  <si>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</si>
  <si>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</si>
  <si>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</si>
  <si>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</si>
  <si>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</si>
  <si>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</si>
  <si>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</si>
  <si>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</si>
  <si>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</si>
  <si>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</si>
  <si>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</si>
  <si>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</si>
  <si>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</si>
  <si>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</si>
  <si>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</si>
  <si>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</si>
  <si>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</si>
  <si>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</si>
  <si>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</si>
  <si>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</si>
  <si>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</si>
  <si>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</si>
  <si>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</si>
  <si>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</si>
  <si>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</si>
  <si>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</si>
  <si>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</si>
  <si>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</si>
  <si>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</si>
  <si>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</si>
  <si>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</si>
  <si>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</si>
  <si>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</si>
  <si>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</si>
  <si>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</si>
  <si>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</si>
  <si>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</si>
  <si>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</si>
  <si>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</si>
  <si>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</si>
  <si>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</si>
  <si>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</si>
  <si>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</si>
  <si>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</si>
  <si>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</si>
  <si>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</si>
  <si>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</si>
  <si>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</si>
  <si>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</si>
  <si>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</si>
  <si>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</si>
  <si>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</si>
  <si>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</si>
  <si>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</si>
  <si>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</si>
  <si>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</si>
  <si>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</si>
  <si>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</si>
  <si>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</si>
  <si>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</si>
  <si>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</si>
  <si>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</si>
  <si>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</si>
  <si>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</si>
  <si>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</si>
  <si>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</si>
  <si>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</si>
  <si>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</si>
  <si>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</si>
  <si>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</si>
  <si>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</si>
  <si>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</si>
  <si>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</si>
  <si>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</si>
  <si>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</si>
  <si>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</si>
  <si>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</si>
  <si>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</si>
  <si>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</si>
  <si>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</si>
  <si>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</si>
  <si>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</si>
  <si>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</si>
  <si>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</si>
  <si>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</si>
  <si>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</si>
  <si>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</si>
  <si>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</si>
  <si>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</si>
  <si>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</si>
  <si>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</si>
  <si>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</si>
  <si>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</si>
  <si>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</si>
  <si>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</si>
  <si>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</si>
  <si>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</si>
  <si>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</si>
  <si>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</si>
  <si>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</si>
  <si>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</si>
  <si>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</si>
  <si>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</si>
  <si>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</si>
  <si>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</si>
  <si>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</si>
  <si>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</si>
  <si>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</si>
  <si>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</si>
  <si>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</si>
  <si>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</si>
  <si>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</si>
  <si>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</si>
  <si>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</si>
  <si>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</si>
  <si>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</si>
  <si>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</si>
  <si>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</si>
  <si>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</si>
  <si>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</si>
  <si>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</si>
  <si>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</si>
  <si>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</si>
  <si>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</si>
  <si>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</si>
  <si>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</si>
  <si>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</si>
  <si>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</si>
  <si>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</si>
  <si>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</si>
  <si>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</si>
  <si>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</si>
  <si>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</si>
  <si>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</si>
  <si>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</si>
  <si>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</si>
  <si>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</si>
  <si>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</si>
  <si>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</si>
  <si>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</si>
  <si>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</si>
  <si>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</si>
  <si>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</si>
  <si>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</si>
  <si>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</si>
  <si>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</si>
  <si>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</si>
  <si>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</si>
  <si>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</si>
  <si>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</si>
  <si>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</si>
  <si>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</si>
  <si>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</si>
  <si>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</si>
  <si>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</si>
  <si>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</si>
  <si>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</si>
  <si>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</si>
  <si>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</si>
  <si>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</si>
  <si>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</si>
  <si>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</si>
  <si>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</si>
  <si>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</si>
  <si>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</si>
  <si>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</si>
  <si>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</si>
  <si>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</si>
  <si>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</si>
  <si>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</si>
  <si>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</si>
  <si>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</si>
  <si>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</si>
  <si>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</si>
  <si>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</si>
  <si>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</si>
  <si>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</si>
  <si>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</si>
  <si>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</si>
  <si>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</si>
  <si>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</si>
  <si>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</si>
  <si>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</si>
  <si>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</si>
  <si>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</si>
  <si>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</si>
  <si>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</si>
  <si>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</si>
  <si>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</si>
  <si>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</si>
  <si>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</si>
  <si>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</si>
  <si>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</si>
  <si>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</si>
  <si>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</si>
  <si>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</si>
  <si>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</si>
  <si>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</si>
  <si>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</si>
  <si>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</si>
  <si>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</si>
  <si>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</si>
  <si>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</si>
  <si>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</si>
  <si>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</si>
  <si>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</si>
  <si>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</si>
  <si>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</si>
  <si>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</si>
  <si>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</si>
  <si>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</si>
  <si>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</si>
  <si>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</si>
  <si>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</si>
  <si>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</si>
  <si>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</si>
  <si>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</si>
  <si>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</si>
  <si>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</si>
  <si>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</si>
  <si>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</si>
  <si>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</si>
  <si>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</si>
  <si>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</si>
  <si>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</si>
  <si>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</si>
  <si>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</si>
  <si>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</si>
  <si>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</si>
  <si>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</si>
  <si>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</si>
  <si>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</si>
  <si>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</si>
  <si>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</si>
  <si>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</si>
  <si>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</si>
  <si>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</si>
  <si>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</si>
  <si>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</si>
  <si>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</si>
  <si>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</si>
  <si>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</si>
  <si>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</si>
  <si>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</si>
  <si>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</si>
  <si>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</si>
  <si>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</si>
  <si>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</si>
  <si>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</si>
  <si>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</si>
  <si>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</si>
  <si>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</si>
  <si>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</si>
  <si>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</si>
  <si>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</si>
  <si>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</si>
  <si>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</si>
  <si>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</si>
  <si>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</si>
  <si>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</si>
  <si>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</si>
  <si>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</si>
  <si>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</si>
  <si>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</si>
  <si>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</si>
  <si>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</si>
  <si>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</si>
  <si>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</si>
  <si>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</si>
  <si>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</si>
  <si>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</si>
  <si>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</si>
  <si>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</si>
  <si>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</si>
  <si>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</si>
  <si>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</si>
  <si>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</si>
  <si>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</si>
  <si>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</si>
  <si>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</si>
  <si>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</si>
  <si>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</si>
  <si>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</si>
  <si>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</si>
  <si>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</si>
  <si>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</si>
  <si>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</si>
  <si>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</si>
  <si>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</si>
  <si>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</si>
  <si>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</si>
  <si>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</si>
  <si>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</si>
  <si>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</si>
  <si>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</si>
  <si>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</si>
  <si>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</si>
  <si>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</si>
  <si>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</si>
  <si>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</si>
  <si>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</si>
  <si>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</si>
  <si>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</si>
  <si>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</si>
  <si>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</si>
  <si>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</si>
  <si>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</si>
  <si>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</si>
  <si>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</si>
  <si>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</si>
  <si>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</si>
  <si>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</si>
  <si>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</si>
  <si>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</si>
  <si>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</si>
  <si>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</si>
  <si>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</si>
  <si>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</si>
  <si>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</si>
  <si>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</si>
  <si>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</si>
  <si>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</si>
  <si>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</si>
  <si>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</si>
  <si>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</si>
  <si>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</si>
  <si>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</si>
  <si>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</si>
  <si>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</si>
  <si>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</si>
  <si>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</si>
  <si>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</si>
  <si>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</si>
  <si>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</si>
  <si>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</si>
  <si>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</si>
  <si>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</si>
  <si>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</si>
  <si>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</si>
  <si>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</si>
  <si>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</si>
  <si>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</si>
  <si>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</si>
  <si>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</si>
  <si>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</si>
  <si>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</si>
  <si>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</si>
  <si>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</si>
  <si>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</si>
  <si>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</si>
  <si>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</si>
  <si>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</si>
  <si>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</si>
  <si>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</si>
  <si>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</si>
  <si>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</si>
  <si>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</si>
  <si>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</si>
  <si>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</si>
  <si>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</si>
  <si>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</si>
  <si>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</si>
  <si>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</si>
  <si>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</si>
  <si>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</si>
  <si>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</si>
  <si>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</si>
  <si>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</si>
  <si>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</si>
  <si>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</si>
  <si>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</si>
  <si>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</si>
  <si>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</si>
  <si>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</si>
  <si>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</si>
  <si>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</si>
  <si>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</si>
  <si>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</si>
  <si>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</si>
  <si>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</si>
  <si>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</si>
  <si>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</si>
  <si>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</si>
  <si>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</si>
  <si>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</si>
  <si>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</si>
  <si>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</si>
  <si>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</si>
  <si>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</si>
  <si>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</si>
  <si>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</si>
  <si>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</si>
  <si>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</si>
  <si>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</si>
  <si>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</si>
  <si>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</si>
  <si>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</si>
  <si>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</si>
  <si>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</si>
  <si>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</si>
  <si>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</si>
  <si>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</si>
  <si>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</si>
  <si>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</si>
  <si>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</si>
  <si>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</si>
  <si>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</si>
  <si>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</si>
  <si>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</si>
  <si>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</si>
  <si>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</si>
  <si>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</si>
  <si>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</si>
  <si>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</si>
  <si>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</si>
  <si>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</si>
  <si>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</si>
  <si>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</si>
  <si>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</si>
  <si>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</si>
  <si>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</si>
  <si>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</si>
  <si>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</si>
  <si>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</si>
  <si>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</si>
  <si>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</si>
  <si>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</si>
  <si>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</si>
  <si>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</si>
  <si>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</si>
  <si>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</si>
  <si>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</si>
  <si>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</si>
  <si>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</si>
  <si>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</si>
  <si>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</si>
  <si>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</si>
  <si>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</si>
  <si>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</si>
  <si>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</si>
  <si>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</si>
  <si>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</si>
  <si>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</si>
  <si>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</si>
  <si>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</si>
  <si>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</si>
  <si>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</si>
  <si>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</si>
  <si>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</si>
  <si>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</si>
  <si>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</si>
  <si>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</si>
  <si>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</si>
  <si>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</si>
  <si>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</si>
  <si>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</si>
  <si>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</si>
  <si>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</si>
  <si>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</si>
  <si>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</si>
  <si>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</si>
  <si>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</si>
  <si>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</si>
  <si>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</si>
  <si>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</si>
  <si>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</si>
  <si>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</si>
  <si>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</si>
  <si>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</si>
  <si>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</si>
  <si>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</si>
  <si>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</si>
  <si>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</si>
  <si>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</si>
  <si>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</si>
  <si>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</si>
  <si>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</si>
  <si>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</si>
  <si>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</si>
  <si>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</si>
  <si>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</si>
  <si>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</si>
  <si>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</si>
  <si>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</si>
  <si>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</si>
  <si>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</si>
  <si>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</si>
  <si>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</si>
  <si>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</si>
  <si>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</si>
  <si>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</si>
  <si>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</si>
  <si>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</si>
  <si>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</si>
  <si>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</si>
  <si>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</si>
  <si>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</si>
  <si>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</si>
  <si>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</si>
  <si>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</si>
  <si>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</si>
  <si>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</si>
  <si>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</si>
  <si>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</si>
  <si>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</si>
  <si>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</si>
  <si>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</si>
  <si>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</si>
  <si>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</si>
  <si>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</si>
  <si>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</si>
  <si>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</si>
  <si>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</si>
  <si>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</si>
  <si>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</si>
  <si>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</si>
  <si>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</si>
  <si>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</si>
  <si>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</si>
  <si>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</si>
  <si>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</si>
  <si>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</si>
  <si>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</si>
  <si>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</si>
  <si>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</si>
  <si>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</si>
  <si>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</si>
  <si>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</si>
  <si>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</si>
  <si>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</si>
  <si>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</si>
  <si>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</si>
  <si>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</si>
  <si>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</si>
  <si>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</si>
  <si>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</si>
  <si>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</si>
  <si>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</si>
  <si>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</si>
  <si>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</si>
  <si>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</si>
  <si>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</si>
  <si>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</si>
  <si>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</si>
  <si>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</si>
  <si>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</si>
  <si>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</si>
  <si>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</si>
  <si>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</si>
  <si>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</si>
  <si>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</si>
  <si>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</si>
  <si>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</si>
  <si>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</si>
  <si>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</si>
  <si>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</si>
  <si>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</si>
  <si>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</si>
  <si>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</si>
  <si>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</si>
  <si>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</si>
  <si>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</si>
  <si>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</si>
  <si>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</si>
  <si>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</si>
  <si>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</si>
  <si>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</si>
  <si>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</si>
  <si>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</si>
  <si>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</si>
  <si>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</si>
  <si>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</si>
  <si>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</si>
  <si>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</si>
  <si>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</si>
  <si>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</si>
  <si>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</si>
  <si>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</si>
  <si>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</si>
  <si>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</si>
  <si>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</si>
  <si>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</si>
  <si>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</si>
  <si>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</si>
  <si>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</si>
  <si>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</si>
  <si>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</si>
  <si>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</si>
  <si>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</si>
  <si>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</si>
  <si>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</si>
  <si>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</si>
  <si>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</si>
  <si>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</si>
  <si>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</si>
  <si>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</si>
  <si>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</si>
  <si>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</si>
  <si>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</si>
  <si>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</si>
  <si>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</si>
  <si>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</si>
  <si>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</si>
  <si>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</si>
  <si>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</si>
  <si>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</si>
  <si>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</si>
  <si>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</si>
  <si>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</si>
  <si>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</si>
  <si>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</si>
  <si>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</si>
  <si>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</si>
  <si>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</si>
  <si>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</si>
  <si>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</si>
  <si>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</si>
  <si>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</si>
  <si>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</si>
  <si>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</si>
  <si>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</si>
  <si>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</si>
  <si>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</si>
  <si>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</si>
  <si>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</si>
  <si>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</si>
  <si>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</si>
  <si>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</si>
  <si>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</si>
  <si>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</si>
  <si>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</si>
  <si>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</si>
  <si>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</si>
  <si>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</si>
  <si>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</si>
  <si>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</si>
  <si>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</si>
  <si>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</si>
  <si>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</si>
  <si>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</si>
  <si>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</si>
  <si>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</si>
  <si>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</si>
  <si>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</si>
  <si>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</si>
  <si>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</si>
  <si>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</si>
  <si>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</si>
  <si>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</si>
  <si>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</si>
  <si>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</si>
  <si>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</si>
  <si>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</si>
  <si>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</si>
  <si>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</si>
  <si>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</si>
  <si>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</si>
  <si>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</si>
  <si>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</si>
  <si>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</si>
  <si>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</si>
  <si>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</si>
  <si>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</si>
  <si>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</si>
  <si>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</si>
  <si>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</si>
  <si>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</si>
  <si>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</si>
  <si>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</si>
  <si>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</si>
  <si>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</si>
  <si>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</si>
  <si>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</si>
  <si>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</si>
  <si>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</si>
  <si>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</si>
  <si>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</si>
  <si>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</si>
  <si>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</si>
  <si>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</si>
  <si>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</si>
  <si>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</si>
  <si>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</si>
  <si>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</si>
  <si>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</si>
  <si>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</si>
  <si>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</si>
  <si>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</si>
  <si>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</si>
  <si>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</si>
  <si>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</si>
  <si>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</si>
  <si>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</si>
  <si>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</si>
  <si>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</si>
  <si>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</si>
  <si>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</si>
  <si>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</si>
  <si>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</si>
  <si>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</si>
  <si>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</si>
  <si>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</si>
  <si>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</si>
  <si>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</si>
  <si>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</si>
  <si>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</si>
  <si>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</si>
  <si>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</si>
  <si>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</si>
  <si>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</si>
  <si>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</si>
  <si>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</si>
  <si>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</si>
  <si>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</si>
  <si>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</si>
  <si>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</si>
  <si>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</si>
  <si>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</si>
  <si>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</si>
  <si>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</si>
  <si>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</si>
  <si>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</si>
  <si>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</si>
  <si>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</si>
  <si>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</si>
  <si>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</si>
  <si>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</si>
  <si>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</si>
  <si>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</si>
  <si>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</si>
  <si>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</si>
  <si>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</si>
  <si>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</si>
  <si>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</si>
  <si>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</si>
  <si>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</si>
  <si>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</si>
  <si>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</si>
  <si>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</si>
  <si>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</si>
  <si>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</si>
  <si>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</si>
  <si>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</si>
  <si>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</si>
  <si>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</si>
  <si>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</si>
  <si>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</si>
  <si>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</si>
  <si>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</si>
  <si>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</si>
  <si>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</si>
  <si>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</si>
  <si>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</si>
  <si>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</si>
  <si>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</si>
  <si>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</si>
  <si>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</si>
  <si>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</si>
  <si>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</si>
  <si>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</si>
  <si>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</si>
  <si>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</si>
  <si>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</si>
  <si>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</si>
  <si>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</si>
  <si>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</si>
  <si>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</si>
  <si>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</si>
  <si>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</si>
  <si>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</si>
  <si>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</si>
  <si>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</si>
  <si>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</si>
  <si>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</si>
  <si>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</si>
  <si>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</si>
  <si>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</si>
  <si>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</si>
  <si>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</si>
  <si>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</si>
  <si>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</si>
  <si>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</si>
  <si>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</si>
  <si>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</si>
  <si>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</si>
  <si>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</si>
  <si>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</si>
  <si>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</si>
  <si>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</si>
  <si>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</si>
  <si>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</si>
  <si>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</si>
  <si>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</si>
  <si>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</si>
  <si>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</si>
  <si>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</si>
  <si>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</si>
  <si>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</si>
  <si>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</si>
  <si>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</si>
  <si>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</si>
  <si>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</si>
  <si>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</si>
  <si>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</si>
  <si>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</si>
  <si>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</si>
  <si>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</si>
  <si>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</si>
  <si>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</si>
  <si>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</si>
  <si>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</si>
  <si>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</si>
  <si>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</si>
  <si>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</si>
  <si>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</si>
  <si>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</si>
  <si>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</si>
  <si>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</si>
  <si>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</si>
  <si>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</si>
  <si>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</si>
  <si>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</si>
  <si>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</si>
  <si>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</si>
  <si>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</si>
  <si>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</si>
  <si>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</si>
  <si>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</si>
  <si>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</si>
  <si>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</si>
  <si>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</si>
  <si>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</si>
  <si>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</si>
  <si>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</si>
  <si>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</si>
  <si>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</si>
  <si>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</si>
  <si>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</si>
  <si>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</si>
  <si>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</si>
  <si>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</si>
  <si>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</si>
  <si>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</si>
  <si>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</si>
  <si>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</si>
  <si>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</si>
  <si>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</si>
  <si>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</si>
  <si>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</si>
  <si>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</si>
  <si>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</si>
  <si>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</si>
  <si>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</si>
  <si>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</si>
  <si>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</si>
  <si>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</si>
  <si>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</si>
  <si>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</si>
  <si>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</si>
  <si>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</si>
  <si>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</si>
  <si>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</si>
  <si>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</si>
  <si>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</si>
  <si>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</si>
  <si>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</si>
  <si>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</si>
  <si>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</si>
  <si>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</si>
  <si>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</si>
  <si>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</si>
  <si>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</si>
  <si>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</si>
  <si>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</si>
  <si>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</si>
  <si>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</si>
  <si>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</si>
  <si>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</si>
  <si>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</si>
  <si>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</si>
  <si>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</si>
  <si>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</si>
  <si>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</si>
  <si>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</si>
  <si>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</si>
  <si>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</si>
  <si>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</si>
  <si>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</si>
  <si>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</si>
  <si>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</si>
  <si>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</si>
  <si>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</si>
  <si>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</si>
  <si>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</si>
  <si>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</si>
  <si>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</si>
  <si>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</si>
  <si>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</si>
  <si>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</si>
  <si>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</si>
  <si>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</si>
  <si>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</si>
  <si>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</si>
  <si>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</si>
  <si>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</si>
  <si>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</si>
  <si>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</si>
  <si>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</si>
  <si>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</si>
  <si>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</si>
  <si>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</si>
  <si>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</si>
  <si>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</si>
  <si>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</si>
  <si>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</si>
  <si>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</si>
  <si>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</si>
  <si>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</si>
  <si>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</si>
  <si>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</si>
  <si>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</si>
  <si>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</si>
  <si>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</si>
  <si>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</si>
  <si>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</si>
  <si>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</si>
  <si>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</si>
  <si>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</si>
  <si>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</si>
  <si>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</si>
  <si>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</si>
  <si>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</si>
  <si>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</si>
  <si>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</si>
  <si>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</si>
  <si>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</si>
  <si>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</si>
  <si>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</si>
  <si>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</si>
  <si>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</si>
  <si>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</si>
  <si>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</si>
  <si>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</si>
  <si>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</si>
  <si>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</si>
  <si>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</si>
  <si>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</si>
  <si>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</si>
  <si>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</si>
  <si>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</si>
  <si>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</si>
  <si>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</si>
  <si>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</si>
  <si>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</si>
  <si>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</si>
  <si>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</si>
  <si>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</si>
  <si>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</si>
  <si>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</si>
  <si>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</si>
  <si>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</si>
  <si>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</si>
  <si>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</si>
  <si>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</si>
  <si>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</si>
  <si>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</si>
  <si>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</si>
  <si>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</si>
  <si>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</si>
  <si>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</si>
  <si>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</si>
  <si>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</si>
  <si>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</si>
  <si>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</si>
  <si>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</si>
  <si>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</si>
  <si>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</si>
  <si>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</si>
  <si>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</si>
  <si>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</si>
  <si>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</si>
  <si>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</si>
  <si>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</si>
  <si>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</si>
  <si>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</si>
  <si>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</si>
  <si>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</si>
  <si>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</si>
  <si>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</si>
  <si>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</si>
  <si>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</si>
  <si>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</si>
  <si>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</si>
  <si>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</si>
  <si>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</si>
  <si>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</si>
  <si>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</si>
  <si>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</si>
  <si>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</si>
  <si>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</si>
  <si>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</si>
  <si>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</si>
  <si>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</si>
  <si>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</si>
  <si>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</si>
  <si>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</si>
  <si>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</si>
  <si>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</si>
  <si>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</si>
  <si>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</si>
  <si>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</si>
  <si>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</si>
  <si>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</si>
  <si>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</si>
  <si>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</si>
  <si>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</si>
  <si>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</si>
  <si>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</si>
  <si>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</si>
  <si>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</si>
  <si>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</si>
  <si>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</si>
  <si>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</si>
  <si>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</si>
  <si>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</si>
  <si>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</si>
  <si>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</si>
  <si>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</si>
  <si>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</si>
  <si>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</si>
  <si>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</si>
  <si>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</si>
  <si>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</si>
  <si>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</si>
  <si>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</si>
  <si>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</si>
  <si>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</si>
  <si>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</si>
  <si>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</si>
  <si>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</si>
  <si>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</si>
  <si>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</si>
  <si>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</si>
  <si>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</si>
  <si>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</si>
  <si>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</si>
  <si>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</si>
  <si>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</si>
  <si>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</si>
  <si>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</si>
  <si>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</si>
  <si>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</si>
  <si>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</si>
  <si>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</si>
  <si>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</si>
  <si>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</si>
  <si>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</si>
  <si>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</si>
  <si>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</si>
  <si>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</si>
  <si>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</si>
  <si>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</si>
  <si>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</si>
  <si>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</si>
  <si>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</si>
  <si>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</si>
  <si>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</si>
  <si>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</si>
  <si>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</si>
  <si>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</si>
  <si>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</si>
  <si>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</si>
  <si>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</si>
  <si>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</si>
  <si>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</si>
  <si>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</si>
  <si>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</si>
  <si>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</si>
  <si>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</si>
  <si>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</si>
  <si>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</si>
  <si>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</si>
  <si>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</si>
  <si>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</si>
  <si>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</si>
  <si>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</si>
  <si>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</si>
  <si>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</si>
  <si>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</si>
  <si>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</si>
  <si>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</si>
  <si>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</si>
  <si>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</si>
  <si>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</si>
  <si>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</si>
  <si>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</si>
  <si>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</si>
  <si>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</si>
  <si>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</si>
  <si>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</si>
  <si>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</si>
  <si>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</si>
  <si>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</si>
  <si>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</si>
  <si>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</si>
  <si>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</si>
  <si>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</si>
  <si>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</si>
  <si>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</si>
  <si>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</si>
  <si>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</si>
  <si>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</si>
  <si>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</si>
  <si>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</si>
  <si>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</si>
  <si>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</si>
  <si>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</si>
  <si>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</si>
  <si>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</si>
  <si>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</si>
  <si>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</si>
  <si>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</si>
  <si>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</si>
  <si>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</si>
  <si>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</si>
  <si>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</si>
  <si>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</si>
  <si>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</si>
  <si>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</si>
  <si>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</si>
  <si>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</si>
  <si>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</si>
  <si>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</si>
  <si>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</si>
  <si>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</si>
  <si>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</si>
  <si>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</si>
  <si>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</si>
  <si>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</si>
  <si>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</si>
  <si>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</si>
  <si>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</si>
  <si>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</si>
  <si>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</si>
  <si>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</si>
  <si>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</si>
  <si>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</si>
  <si>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</si>
  <si>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</si>
  <si>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</si>
  <si>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</si>
  <si>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</si>
  <si>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</si>
  <si>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</si>
  <si>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</si>
  <si>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</si>
  <si>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</si>
  <si>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</si>
  <si>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</si>
  <si>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</si>
  <si>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</si>
  <si>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</si>
  <si>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</si>
  <si>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</si>
  <si>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</si>
  <si>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</si>
  <si>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</si>
  <si>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</si>
  <si>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</si>
  <si>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</si>
  <si>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</si>
  <si>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</si>
  <si>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</si>
  <si>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</si>
  <si>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</si>
  <si>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</si>
  <si>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</si>
  <si>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</si>
  <si>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</si>
  <si>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</si>
  <si>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</si>
  <si>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</si>
  <si>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</si>
  <si>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</si>
  <si>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</si>
  <si>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</si>
  <si>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</si>
  <si>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</si>
  <si>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</si>
  <si>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</si>
  <si>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</si>
  <si>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</si>
  <si>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</si>
  <si>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</si>
  <si>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</si>
  <si>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</si>
  <si>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</si>
  <si>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</si>
  <si>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</si>
  <si>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</si>
  <si>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</si>
  <si>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</si>
  <si>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</si>
  <si>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</si>
  <si>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</si>
  <si>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</si>
  <si>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</si>
  <si>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</si>
  <si>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</si>
  <si>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</si>
  <si>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</si>
  <si>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</si>
  <si>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</si>
  <si>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</si>
  <si>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</si>
  <si>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</si>
  <si>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</si>
  <si>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</si>
  <si>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</si>
  <si>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</si>
  <si>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</si>
  <si>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</si>
  <si>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</si>
  <si>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</si>
  <si>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</si>
  <si>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</si>
  <si>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</si>
  <si>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</si>
  <si>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</si>
  <si>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</si>
  <si>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</si>
  <si>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</si>
  <si>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</si>
  <si>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</si>
  <si>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</si>
  <si>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</si>
  <si>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</si>
  <si>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</si>
  <si>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</si>
  <si>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</si>
  <si>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</si>
  <si>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</si>
  <si>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</si>
  <si>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</si>
  <si>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</si>
  <si>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</si>
  <si>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</si>
  <si>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</si>
  <si>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</si>
  <si>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</si>
  <si>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</si>
  <si>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</si>
  <si>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</si>
  <si>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</si>
  <si>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</si>
  <si>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</si>
  <si>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</si>
  <si>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</si>
  <si>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</si>
  <si>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</si>
  <si>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</si>
  <si>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</si>
  <si>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</si>
  <si>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</si>
  <si>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</si>
  <si>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</si>
  <si>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</si>
  <si>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</si>
  <si>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</si>
  <si>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</si>
  <si>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</si>
  <si>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</si>
  <si>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</si>
  <si>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</si>
  <si>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</si>
  <si>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</si>
  <si>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</si>
  <si>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</si>
  <si>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</si>
  <si>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</si>
  <si>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</si>
  <si>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</si>
  <si>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</si>
  <si>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</si>
  <si>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</si>
  <si>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</si>
  <si>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</si>
  <si>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</si>
  <si>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</si>
  <si>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</si>
  <si>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</si>
  <si>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</si>
  <si>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</si>
  <si>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</si>
  <si>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</si>
  <si>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</si>
  <si>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</si>
  <si>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</si>
  <si>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</si>
  <si>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</si>
  <si>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</si>
  <si>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</si>
  <si>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</si>
  <si>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</si>
  <si>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</si>
  <si>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</si>
  <si>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</si>
  <si>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</si>
  <si>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</si>
  <si>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</si>
  <si>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</si>
  <si>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</si>
  <si>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</si>
  <si>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</si>
  <si>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</si>
  <si>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</si>
  <si>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</si>
  <si>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</si>
  <si>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</si>
  <si>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</si>
  <si>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</si>
  <si>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</si>
  <si>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</si>
  <si>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</si>
  <si>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</si>
  <si>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</si>
  <si>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</si>
  <si>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</si>
  <si>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</si>
  <si>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</si>
  <si>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</si>
  <si>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</si>
  <si>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</si>
  <si>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</si>
  <si>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</si>
  <si>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</si>
  <si>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</si>
  <si>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</si>
  <si>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</si>
  <si>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</si>
  <si>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</si>
  <si>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</si>
  <si>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</si>
  <si>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</si>
  <si>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</si>
  <si>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</si>
  <si>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</si>
  <si>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</si>
  <si>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</si>
  <si>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</si>
  <si>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</si>
  <si>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</si>
  <si>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</si>
  <si>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</si>
  <si>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</si>
  <si>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</si>
  <si>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</si>
  <si>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</si>
  <si>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</si>
  <si>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</si>
  <si>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</si>
  <si>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</si>
  <si>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</si>
  <si>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</si>
  <si>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</si>
  <si>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</si>
  <si>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</si>
  <si>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</si>
  <si>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</si>
  <si>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</si>
  <si>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</si>
  <si>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</si>
  <si>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</si>
  <si>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</si>
  <si>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</si>
  <si>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</si>
  <si>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</si>
  <si>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</si>
  <si>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</si>
  <si>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</si>
  <si>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</si>
  <si>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</si>
  <si>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</si>
  <si>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</si>
  <si>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</si>
  <si>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</si>
  <si>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</si>
  <si>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</si>
  <si>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</si>
  <si>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</si>
  <si>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</si>
  <si>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</si>
  <si>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</si>
  <si>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</si>
  <si>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</si>
  <si>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</si>
  <si>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</si>
  <si>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</si>
  <si>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</si>
  <si>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</si>
  <si>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</si>
  <si>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</si>
  <si>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</si>
  <si>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</si>
  <si>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</si>
  <si>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</si>
  <si>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</si>
  <si>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</si>
  <si>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</si>
  <si>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</si>
  <si>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</si>
  <si>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</si>
  <si>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</si>
  <si>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</si>
  <si>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</si>
  <si>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</si>
  <si>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</si>
  <si>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</si>
  <si>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</si>
  <si>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</si>
  <si>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</si>
  <si>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</si>
  <si>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</si>
  <si>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</si>
  <si>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</si>
  <si>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</si>
  <si>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</si>
  <si>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</si>
  <si>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</si>
  <si>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</si>
  <si>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</si>
  <si>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</si>
  <si>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</si>
  <si>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</si>
  <si>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</si>
  <si>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</si>
  <si>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</si>
  <si>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</si>
  <si>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</si>
  <si>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</si>
  <si>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</si>
  <si>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</si>
  <si>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</si>
  <si>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</si>
  <si>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</si>
  <si>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</si>
  <si>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</si>
  <si>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</si>
  <si>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</si>
  <si>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</si>
  <si>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</si>
  <si>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</si>
  <si>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</si>
  <si>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</si>
  <si>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</si>
  <si>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</si>
  <si>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</si>
  <si>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</si>
  <si>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</si>
  <si>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</si>
  <si>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</si>
  <si>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</si>
  <si>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</si>
  <si>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</si>
  <si>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</si>
  <si>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</si>
  <si>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</si>
  <si>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</si>
  <si>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</si>
  <si>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</si>
  <si>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</si>
  <si>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</si>
  <si>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</si>
  <si>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</si>
  <si>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</si>
  <si>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</si>
  <si>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</si>
  <si>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</si>
  <si>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</si>
  <si>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</si>
  <si>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</si>
  <si>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</si>
  <si>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</si>
  <si>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</si>
  <si>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</si>
  <si>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</si>
  <si>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</si>
  <si>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</si>
  <si>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</si>
  <si>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</si>
  <si>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</si>
  <si>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</si>
  <si>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</si>
  <si>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</si>
  <si>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</si>
  <si>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</si>
  <si>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</si>
  <si>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</si>
  <si>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</si>
  <si>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</si>
  <si>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</si>
  <si>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</si>
  <si>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</si>
  <si>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</si>
  <si>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</si>
  <si>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</si>
  <si>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</si>
  <si>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</si>
  <si>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</si>
  <si>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</si>
  <si>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</si>
  <si>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</si>
  <si>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</si>
  <si>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</si>
  <si>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</si>
  <si>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</si>
  <si>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</si>
  <si>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</si>
  <si>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</si>
  <si>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</si>
  <si>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</si>
  <si>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</si>
  <si>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</si>
  <si>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</si>
  <si>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</si>
  <si>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</si>
  <si>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</si>
  <si>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</si>
  <si>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</si>
  <si>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</si>
  <si>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</si>
  <si>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</si>
  <si>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</si>
  <si>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</si>
  <si>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</si>
  <si>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</si>
  <si>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</si>
  <si>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</si>
  <si>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</si>
  <si>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</si>
  <si>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</si>
  <si>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</si>
  <si>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</si>
  <si>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</si>
  <si>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</si>
  <si>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</si>
  <si>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</si>
  <si>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</si>
  <si>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</si>
  <si>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</si>
  <si>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</si>
  <si>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</si>
  <si>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</si>
  <si>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</si>
  <si>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</si>
  <si>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</si>
  <si>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</si>
  <si>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</si>
  <si>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</si>
  <si>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</si>
  <si>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</si>
  <si>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</si>
  <si>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</si>
  <si>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</si>
  <si>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</si>
  <si>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</si>
  <si>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</si>
  <si>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</si>
  <si>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</si>
  <si>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</si>
  <si>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</si>
  <si>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</si>
  <si>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</si>
  <si>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</si>
  <si>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</si>
  <si>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</si>
  <si>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</si>
  <si>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</si>
  <si>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</si>
  <si>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</si>
  <si>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</si>
  <si>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</si>
  <si>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</si>
  <si>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</si>
  <si>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</si>
  <si>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</si>
  <si>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</si>
  <si>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</si>
  <si>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</si>
  <si>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</si>
  <si>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</si>
  <si>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</si>
  <si>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</si>
  <si>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</si>
  <si>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</si>
  <si>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</si>
  <si>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</si>
  <si>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</si>
  <si>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</si>
  <si>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</si>
  <si>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</si>
  <si>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</si>
  <si>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</si>
  <si>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</si>
  <si>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</si>
  <si>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</si>
  <si>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</si>
  <si>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</si>
  <si>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</si>
  <si>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</si>
  <si>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</si>
  <si>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</si>
  <si>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</si>
  <si>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</si>
  <si>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</si>
  <si>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</si>
  <si>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</si>
  <si>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</si>
  <si>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</si>
  <si>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</si>
  <si>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</si>
  <si>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</si>
  <si>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</si>
  <si>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</si>
  <si>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</si>
  <si>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</si>
  <si>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</si>
  <si>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</si>
  <si>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</si>
  <si>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</si>
  <si>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</si>
  <si>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</si>
  <si>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</si>
  <si>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</si>
  <si>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</si>
  <si>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</si>
  <si>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</si>
  <si>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</si>
  <si>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</si>
  <si>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</si>
  <si>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</si>
  <si>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</si>
  <si>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</si>
  <si>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</si>
  <si>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</si>
  <si>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</si>
  <si>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</si>
  <si>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</si>
  <si>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</si>
  <si>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</si>
  <si>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</si>
  <si>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</si>
  <si>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</si>
  <si>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</si>
  <si>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</si>
  <si>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</si>
  <si>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</si>
  <si>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</si>
  <si>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</si>
  <si>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</si>
  <si>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</si>
  <si>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</si>
  <si>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</si>
  <si>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</si>
  <si>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</si>
  <si>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</si>
  <si>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</si>
  <si>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</si>
  <si>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</si>
  <si>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</si>
  <si>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</si>
  <si>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</si>
  <si>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</si>
  <si>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</si>
  <si>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</si>
  <si>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</si>
  <si>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</si>
  <si>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</si>
  <si>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</si>
  <si>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</si>
  <si>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</si>
  <si>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</si>
  <si>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</si>
  <si>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</si>
  <si>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</si>
  <si>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</si>
  <si>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</si>
  <si>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</si>
  <si>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</si>
  <si>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</si>
  <si>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</si>
  <si>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</si>
  <si>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</si>
  <si>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</si>
  <si>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</si>
  <si>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</si>
  <si>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</si>
  <si>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</si>
  <si>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</si>
  <si>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</si>
  <si>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</si>
  <si>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</si>
  <si>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</si>
  <si>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</si>
  <si>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</si>
  <si>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</si>
  <si>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</si>
  <si>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</si>
  <si>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</si>
  <si>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</si>
  <si>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</si>
  <si>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</si>
  <si>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</si>
  <si>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</si>
  <si>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</si>
  <si>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</si>
  <si>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</si>
  <si>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</si>
  <si>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</si>
  <si>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</si>
  <si>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</si>
  <si>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</si>
  <si>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</si>
  <si>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</si>
  <si>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</si>
  <si>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</si>
  <si>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</si>
  <si>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</si>
  <si>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</si>
  <si>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</si>
  <si>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</si>
  <si>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</si>
  <si>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</si>
  <si>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</si>
  <si>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</si>
  <si>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</si>
  <si>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</si>
  <si>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</si>
  <si>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</si>
  <si>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</si>
  <si>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</si>
  <si>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</si>
  <si>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</si>
  <si>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</si>
  <si>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</si>
  <si>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</si>
  <si>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</si>
  <si>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</si>
  <si>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</si>
  <si>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</si>
  <si>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</si>
  <si>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</si>
  <si>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</si>
  <si>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</si>
  <si>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</si>
  <si>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</si>
  <si>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</si>
  <si>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</si>
  <si>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</si>
  <si>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</si>
  <si>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</si>
  <si>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</si>
  <si>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</si>
  <si>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</si>
  <si>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</si>
  <si>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</si>
  <si>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</si>
  <si>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</si>
  <si>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</si>
  <si>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</si>
  <si>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</si>
  <si>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</si>
  <si>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</si>
  <si>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</si>
  <si>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</si>
  <si>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</si>
  <si>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</si>
  <si>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</si>
  <si>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</si>
  <si>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</si>
  <si>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</si>
  <si>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</si>
  <si>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</si>
  <si>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</si>
  <si>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</si>
  <si>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</si>
  <si>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</si>
  <si>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</si>
  <si>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</si>
  <si>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</si>
  <si>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</si>
  <si>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</si>
  <si>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</si>
  <si>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</si>
  <si>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</si>
  <si>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</si>
  <si>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</si>
  <si>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</si>
  <si>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</si>
  <si>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</si>
  <si>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</si>
  <si>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</si>
  <si>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</si>
  <si>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</si>
  <si>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</si>
  <si>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</si>
  <si>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</si>
  <si>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</si>
  <si>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</si>
  <si>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</si>
  <si>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</si>
  <si>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</si>
  <si>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</si>
  <si>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</si>
  <si>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</si>
  <si>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</si>
  <si>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</si>
  <si>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</si>
  <si>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</si>
  <si>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</si>
  <si>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</si>
  <si>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</si>
  <si>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</si>
  <si>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</si>
  <si>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</si>
  <si>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</si>
  <si>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</si>
  <si>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</si>
  <si>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</si>
  <si>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</si>
  <si>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</si>
  <si>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</si>
  <si>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</si>
  <si>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</si>
  <si>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</si>
  <si>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</si>
  <si>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</si>
  <si>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</si>
  <si>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</si>
  <si>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</si>
  <si>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</si>
  <si>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</si>
  <si>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</si>
  <si>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</si>
  <si>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</si>
  <si>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</si>
  <si>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</si>
  <si>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</si>
  <si>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</si>
  <si>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</si>
  <si>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</si>
  <si>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</si>
  <si>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</si>
  <si>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</si>
  <si>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</si>
  <si>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</si>
  <si>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</si>
  <si>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</si>
  <si>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</si>
  <si>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</si>
  <si>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</si>
  <si>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</si>
  <si>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</si>
  <si>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</si>
  <si>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</si>
  <si>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</si>
  <si>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</si>
  <si>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</si>
  <si>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</si>
  <si>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</si>
  <si>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</si>
  <si>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</si>
  <si>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</si>
  <si>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</si>
  <si>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</si>
  <si>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</si>
  <si>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</si>
  <si>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</si>
  <si>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</si>
  <si>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</si>
  <si>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</si>
  <si>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</si>
  <si>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</si>
  <si>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</si>
  <si>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</si>
  <si>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</si>
  <si>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</si>
  <si>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</si>
  <si>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</si>
  <si>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</si>
  <si>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</si>
  <si>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</si>
  <si>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</si>
  <si>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</si>
  <si>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</si>
  <si>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</si>
  <si>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</si>
  <si>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</si>
  <si>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</si>
  <si>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</si>
  <si>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</si>
  <si>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</si>
  <si>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</si>
  <si>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</si>
  <si>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</si>
  <si>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</si>
  <si>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</si>
  <si>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</si>
  <si>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</si>
  <si>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</si>
  <si>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</si>
  <si>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</si>
  <si>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</si>
  <si>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</si>
  <si>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</si>
  <si>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</si>
  <si>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</si>
  <si>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</si>
  <si>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</si>
  <si>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</si>
  <si>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</si>
  <si>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</si>
  <si>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</si>
  <si>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</si>
  <si>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</si>
  <si>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</si>
  <si>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</si>
  <si>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</si>
  <si>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</si>
  <si>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</si>
  <si>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</si>
  <si>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</si>
  <si>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</si>
  <si>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</si>
  <si>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</si>
  <si>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</si>
  <si>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</si>
  <si>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</si>
  <si>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</si>
  <si>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</si>
  <si>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</si>
  <si>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</si>
  <si>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</si>
  <si>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</si>
  <si>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</si>
  <si>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</si>
  <si>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</si>
  <si>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</si>
  <si>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</si>
  <si>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</si>
  <si>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</si>
  <si>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</si>
  <si>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</si>
  <si>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</si>
  <si>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</si>
  <si>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</si>
  <si>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</si>
  <si>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</si>
  <si>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</si>
  <si>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</si>
  <si>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</si>
  <si>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</si>
  <si>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</si>
  <si>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</si>
  <si>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</si>
  <si>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</si>
  <si>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</si>
  <si>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</si>
  <si>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</si>
  <si>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</si>
  <si>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</si>
  <si>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</si>
  <si>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</si>
  <si>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</si>
  <si>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</si>
  <si>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</si>
  <si>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</si>
  <si>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</si>
  <si>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</si>
  <si>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</si>
  <si>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</si>
  <si>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</si>
  <si>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</si>
  <si>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</si>
  <si>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</si>
  <si>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</si>
  <si>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</si>
  <si>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</si>
  <si>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</si>
  <si>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</si>
  <si>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</si>
  <si>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</si>
  <si>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</si>
  <si>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</si>
  <si>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</si>
  <si>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</si>
  <si>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</si>
  <si>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</si>
  <si>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</si>
  <si>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</si>
  <si>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</si>
  <si>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</si>
  <si>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</si>
  <si>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</si>
  <si>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</si>
  <si>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</si>
  <si>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</si>
  <si>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</si>
  <si>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</si>
  <si>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</si>
  <si>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</si>
  <si>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</si>
  <si>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</si>
  <si>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</si>
  <si>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</si>
  <si>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</si>
  <si>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</si>
  <si>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</si>
  <si>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</si>
  <si>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</si>
  <si>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</si>
  <si>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</si>
  <si>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</si>
  <si>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</si>
  <si>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</si>
  <si>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</si>
  <si>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</si>
  <si>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</si>
  <si>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</si>
  <si>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</si>
  <si>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</si>
  <si>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</si>
  <si>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</si>
  <si>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</si>
  <si>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</si>
  <si>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</si>
  <si>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</si>
  <si>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</si>
  <si>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</si>
  <si>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</si>
  <si>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</si>
  <si>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</si>
  <si>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</si>
  <si>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</si>
  <si>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</si>
  <si>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</si>
  <si>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</si>
  <si>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</si>
  <si>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</si>
  <si>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</si>
  <si>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</si>
  <si>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</si>
  <si>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</si>
  <si>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</si>
  <si>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</si>
  <si>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</si>
  <si>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</si>
  <si>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</si>
  <si>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</si>
  <si>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</si>
  <si>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</si>
  <si>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</si>
  <si>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</si>
  <si>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</si>
  <si>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</si>
  <si>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</si>
  <si>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</si>
  <si>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</si>
  <si>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</si>
  <si>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</si>
  <si>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</si>
  <si>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</si>
  <si>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</si>
  <si>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</si>
  <si>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</si>
  <si>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</si>
  <si>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</si>
  <si>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</si>
  <si>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</si>
  <si>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</si>
  <si>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</si>
  <si>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</si>
  <si>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</si>
  <si>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</si>
  <si>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</si>
  <si>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</si>
  <si>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</si>
  <si>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</si>
  <si>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</si>
  <si>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</si>
  <si>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</si>
  <si>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</si>
  <si>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</si>
  <si>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</si>
  <si>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</si>
  <si>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</si>
  <si>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</si>
  <si>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</si>
  <si>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</si>
  <si>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</si>
  <si>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</si>
  <si>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</si>
  <si>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</si>
  <si>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</si>
  <si>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</si>
  <si>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</si>
  <si>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</si>
  <si>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</si>
  <si>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</si>
  <si>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</si>
  <si>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</si>
  <si>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</si>
  <si>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</si>
  <si>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</si>
  <si>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</si>
  <si>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</si>
  <si>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</si>
  <si>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</si>
  <si>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</si>
  <si>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</si>
  <si>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</si>
  <si>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</si>
  <si>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</si>
  <si>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</si>
  <si>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</si>
  <si>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</si>
  <si>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</si>
  <si>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</si>
  <si>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</si>
  <si>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</si>
  <si>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</si>
  <si>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</si>
  <si>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</si>
  <si>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</si>
  <si>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</si>
  <si>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</si>
  <si>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</si>
  <si>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</si>
  <si>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</si>
  <si>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</si>
  <si>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</si>
  <si>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</si>
  <si>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</si>
  <si>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</si>
  <si>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</si>
  <si>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</si>
  <si>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</si>
  <si>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</si>
  <si>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</si>
  <si>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</si>
  <si>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</si>
  <si>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</si>
  <si>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</si>
  <si>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</si>
  <si>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</si>
  <si>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</si>
  <si>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</si>
  <si>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</si>
  <si>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</si>
  <si>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</si>
  <si>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</si>
  <si>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</si>
  <si>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</si>
  <si>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</si>
  <si>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</si>
  <si>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</si>
  <si>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</si>
  <si>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</si>
  <si>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</si>
  <si>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</si>
  <si>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</si>
  <si>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</si>
  <si>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</si>
  <si>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</si>
  <si>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</si>
  <si>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</si>
  <si>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</si>
  <si>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</si>
  <si>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</si>
  <si>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</si>
  <si>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</si>
  <si>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</si>
  <si>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</si>
  <si>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</si>
  <si>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</si>
  <si>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</si>
  <si>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</si>
  <si>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</si>
  <si>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</si>
  <si>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</si>
  <si>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</si>
  <si>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</si>
  <si>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</si>
  <si>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</si>
  <si>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</si>
  <si>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</si>
  <si>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</si>
  <si>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</si>
  <si>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</si>
  <si>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</si>
  <si>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</si>
  <si>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</si>
  <si>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</si>
  <si>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</si>
  <si>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</si>
  <si>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</si>
  <si>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</si>
  <si>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</si>
  <si>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</si>
  <si>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</si>
  <si>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</si>
  <si>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</si>
  <si>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</si>
  <si>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</si>
  <si>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</si>
  <si>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</si>
  <si>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</si>
  <si>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</si>
  <si>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</si>
  <si>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</si>
  <si>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</si>
  <si>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</si>
  <si>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</si>
  <si>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</si>
  <si>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</si>
  <si>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</si>
  <si>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</si>
  <si>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</si>
  <si>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</si>
  <si>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</si>
  <si>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</si>
  <si>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</si>
  <si>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</si>
  <si>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</si>
  <si>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</si>
  <si>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</si>
  <si>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</si>
  <si>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</si>
  <si>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</si>
  <si>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</si>
  <si>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</si>
  <si>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</si>
  <si>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</si>
  <si>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</si>
  <si>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</si>
  <si>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</si>
  <si>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</si>
  <si>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</si>
  <si>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</si>
  <si>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</si>
  <si>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</si>
  <si>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</si>
  <si>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</si>
  <si>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</si>
  <si>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</si>
  <si>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</si>
  <si>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</si>
  <si>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</si>
  <si>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</si>
  <si>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</si>
  <si>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</si>
  <si>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</si>
  <si>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</si>
  <si>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</si>
  <si>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</si>
  <si>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</si>
  <si>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</si>
  <si>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</si>
  <si>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</si>
  <si>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</si>
  <si>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</si>
  <si>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</si>
  <si>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</si>
  <si>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</si>
  <si>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</si>
  <si>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</si>
  <si>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</si>
  <si>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</si>
  <si>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</si>
  <si>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</si>
  <si>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</si>
  <si>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</si>
  <si>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</si>
  <si>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</si>
  <si>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</si>
  <si>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</si>
  <si>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</si>
  <si>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</si>
  <si>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</si>
  <si>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</si>
  <si>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</si>
  <si>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</si>
  <si>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</si>
  <si>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</si>
  <si>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</si>
  <si>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</si>
  <si>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</si>
  <si>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</si>
  <si>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</si>
  <si>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</si>
  <si>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</si>
  <si>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</si>
  <si>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</si>
  <si>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</si>
  <si>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</si>
  <si>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</si>
  <si>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</si>
  <si>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</si>
  <si>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</si>
  <si>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</si>
  <si>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</si>
  <si>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</si>
  <si>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</si>
  <si>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</si>
  <si>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</si>
  <si>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</si>
  <si>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</si>
  <si>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</si>
  <si>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</si>
  <si>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</si>
  <si>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</si>
  <si>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</si>
  <si>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</si>
  <si>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</si>
  <si>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</si>
  <si>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</si>
  <si>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</si>
  <si>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</si>
  <si>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</si>
  <si>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</si>
  <si>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</si>
  <si>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</si>
  <si>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</si>
  <si>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</si>
  <si>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</si>
  <si>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</si>
  <si>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</si>
  <si>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</si>
  <si>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</si>
  <si>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</si>
  <si>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</si>
  <si>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</si>
  <si>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</si>
  <si>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</si>
  <si>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</si>
  <si>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</si>
  <si>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</si>
  <si>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</si>
  <si>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</si>
  <si>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</si>
  <si>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</si>
  <si>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</si>
  <si>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</si>
  <si>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</si>
  <si>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</si>
  <si>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</si>
  <si>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</si>
  <si>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</si>
  <si>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</si>
  <si>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</si>
  <si>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</si>
  <si>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</si>
  <si>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</si>
  <si>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</si>
  <si>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</si>
  <si>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</si>
  <si>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</si>
  <si>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</si>
  <si>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</si>
  <si>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</si>
  <si>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</si>
  <si>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</si>
  <si>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</si>
  <si>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</si>
  <si>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</si>
  <si>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</si>
  <si>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</si>
  <si>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</si>
  <si>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</si>
  <si>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</si>
  <si>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</si>
  <si>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</si>
  <si>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</si>
  <si>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</si>
  <si>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</si>
  <si>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</si>
  <si>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</si>
  <si>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</si>
  <si>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</si>
  <si>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</si>
  <si>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</si>
  <si>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</si>
  <si>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</si>
  <si>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</si>
  <si>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</si>
  <si>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</si>
  <si>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</si>
  <si>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</si>
  <si>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</si>
  <si>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</si>
  <si>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</si>
  <si>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</si>
  <si>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</si>
  <si>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</si>
  <si>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</si>
  <si>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</si>
  <si>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</si>
  <si>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</si>
  <si>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</si>
  <si>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</si>
  <si>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</si>
  <si>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</si>
  <si>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</si>
  <si>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</si>
  <si>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</si>
  <si>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</si>
  <si>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</si>
  <si>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</si>
  <si>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</si>
  <si>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</si>
  <si>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</si>
  <si>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</si>
  <si>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</si>
  <si>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</si>
  <si>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</si>
  <si>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</si>
  <si>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</si>
  <si>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</si>
  <si>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</si>
  <si>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</si>
  <si>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</si>
  <si>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</si>
  <si>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</si>
  <si>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</si>
  <si>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</si>
  <si>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</si>
  <si>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</si>
  <si>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</si>
  <si>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</si>
  <si>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</si>
  <si>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</si>
  <si>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</si>
  <si>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</si>
  <si>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</si>
  <si>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</si>
  <si>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</si>
  <si>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</si>
  <si>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</si>
  <si>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</si>
  <si>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</si>
  <si>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</si>
  <si>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</si>
  <si>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</si>
  <si>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</si>
  <si>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</si>
  <si>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</si>
  <si>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</si>
  <si>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</si>
  <si>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</si>
  <si>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</si>
  <si>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</si>
  <si>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</si>
  <si>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</si>
  <si>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</si>
  <si>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</si>
  <si>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</si>
  <si>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</si>
  <si>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</si>
  <si>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</si>
  <si>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</si>
  <si>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</si>
  <si>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</si>
  <si>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</si>
  <si>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</si>
  <si>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</si>
  <si>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</si>
  <si>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</si>
  <si>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</si>
  <si>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</si>
  <si>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</si>
  <si>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</si>
  <si>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</si>
  <si>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</si>
  <si>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</si>
  <si>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</si>
  <si>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</si>
  <si>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</si>
  <si>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</si>
  <si>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</si>
  <si>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</si>
  <si>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</si>
  <si>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</si>
  <si>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</si>
  <si>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</si>
  <si>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</si>
  <si>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</si>
  <si>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</si>
  <si>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</si>
  <si>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</si>
  <si>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</si>
  <si>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</si>
  <si>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</si>
  <si>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</si>
  <si>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</si>
  <si>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</si>
  <si>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</si>
  <si>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</si>
  <si>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</si>
  <si>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</si>
  <si>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</si>
  <si>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</si>
  <si>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</si>
  <si>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</si>
  <si>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</si>
  <si>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</si>
  <si>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</si>
  <si>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</si>
  <si>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</si>
  <si>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</si>
  <si>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</si>
  <si>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</si>
  <si>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</si>
  <si>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</si>
  <si>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</si>
  <si>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</si>
  <si>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</si>
  <si>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</si>
  <si>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</si>
  <si>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</si>
  <si>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</si>
  <si>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</si>
  <si>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</si>
  <si>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</si>
  <si>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</si>
  <si>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</si>
  <si>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</si>
  <si>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</si>
  <si>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</si>
  <si>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</si>
  <si>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</si>
  <si>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</si>
  <si>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</si>
  <si>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</si>
  <si>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</si>
  <si>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</si>
  <si>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</si>
  <si>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</si>
  <si>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</si>
  <si>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</si>
  <si>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</si>
  <si>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</si>
  <si>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</si>
  <si>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</si>
  <si>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</si>
  <si>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</si>
  <si>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</si>
  <si>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</si>
  <si>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</si>
  <si>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</si>
  <si>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</si>
  <si>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</si>
  <si>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</si>
  <si>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</si>
  <si>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</si>
  <si>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</si>
  <si>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</si>
  <si>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</si>
  <si>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</si>
  <si>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</si>
  <si>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</si>
  <si>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</si>
  <si>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</si>
  <si>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</si>
  <si>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</si>
  <si>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</si>
  <si>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</si>
  <si>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</si>
  <si>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</si>
  <si>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</si>
  <si>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</si>
  <si>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</si>
  <si>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</si>
  <si>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</si>
  <si>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</si>
  <si>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</si>
  <si>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</si>
  <si>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</si>
  <si>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</si>
  <si>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</si>
  <si>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</si>
  <si>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</si>
  <si>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</si>
  <si>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</si>
  <si>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</si>
  <si>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</si>
  <si>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</si>
  <si>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</si>
  <si>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</si>
  <si>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</si>
  <si>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</si>
  <si>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</si>
  <si>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</si>
  <si>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</si>
  <si>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</si>
  <si>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</si>
  <si>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</si>
  <si>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</si>
  <si>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</si>
  <si>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</si>
  <si>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</si>
  <si>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</si>
  <si>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</si>
  <si>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</si>
  <si>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</si>
  <si>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</si>
  <si>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</si>
  <si>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</si>
  <si>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</si>
  <si>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</si>
  <si>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</si>
  <si>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</si>
  <si>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</si>
  <si>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</si>
  <si>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</si>
  <si>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</si>
  <si>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</si>
  <si>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</si>
  <si>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</si>
  <si>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</si>
  <si>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</si>
  <si>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</si>
  <si>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</si>
  <si>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</si>
  <si>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</si>
  <si>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</si>
  <si>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</si>
  <si>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</si>
  <si>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</si>
  <si>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</si>
  <si>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</si>
  <si>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</si>
  <si>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</si>
  <si>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</si>
  <si>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</si>
  <si>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</si>
  <si>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</si>
  <si>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</si>
  <si>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</si>
  <si>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</si>
  <si>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</si>
  <si>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</si>
  <si>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</si>
  <si>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</si>
  <si>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</si>
  <si>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</si>
  <si>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</si>
  <si>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</si>
  <si>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</si>
  <si>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</si>
  <si>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</si>
  <si>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</si>
  <si>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</si>
  <si>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</si>
  <si>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</si>
  <si>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</si>
  <si>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</si>
  <si>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</si>
  <si>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</si>
  <si>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</si>
  <si>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</si>
  <si>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</si>
  <si>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</si>
  <si>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</si>
  <si>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</si>
  <si>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</si>
  <si>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</si>
  <si>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</si>
  <si>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</si>
  <si>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</si>
  <si>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</si>
  <si>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</si>
  <si>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</si>
  <si>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</si>
  <si>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</si>
  <si>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</si>
  <si>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</si>
  <si>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</si>
  <si>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</si>
  <si>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</si>
  <si>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</si>
  <si>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</si>
  <si>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</si>
  <si>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</si>
  <si>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</si>
  <si>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</si>
  <si>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</si>
  <si>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</si>
  <si>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</si>
  <si>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</si>
  <si>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</si>
  <si>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</si>
  <si>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</si>
  <si>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</si>
  <si>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</si>
  <si>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</si>
  <si>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</si>
  <si>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</si>
  <si>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</si>
  <si>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</si>
  <si>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</si>
  <si>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</si>
  <si>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</si>
  <si>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</si>
  <si>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</si>
  <si>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</si>
  <si>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</si>
  <si>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</si>
  <si>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</si>
  <si>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</si>
  <si>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</si>
  <si>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</si>
  <si>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</si>
  <si>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</si>
  <si>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</si>
  <si>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</si>
  <si>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</si>
  <si>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</si>
  <si>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</si>
  <si>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</si>
  <si>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</si>
  <si>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</si>
  <si>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</si>
  <si>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</si>
  <si>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</si>
  <si>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</si>
  <si>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</si>
  <si>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</si>
  <si>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</si>
  <si>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</si>
  <si>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</si>
  <si>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</si>
  <si>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</si>
  <si>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</si>
  <si>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</si>
  <si>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</si>
  <si>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</si>
  <si>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</si>
  <si>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</si>
  <si>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</si>
  <si>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</si>
  <si>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</si>
  <si>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</si>
  <si>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</si>
  <si>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</si>
  <si>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</si>
  <si>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</si>
  <si>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</si>
  <si>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</si>
  <si>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</si>
  <si>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</si>
  <si>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</si>
  <si>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</si>
  <si>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</si>
  <si>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</si>
  <si>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</si>
  <si>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</si>
  <si>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</si>
  <si>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</si>
  <si>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</si>
  <si>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</si>
  <si>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</si>
  <si>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</si>
  <si>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</si>
  <si>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</si>
  <si>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</si>
  <si>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</si>
  <si>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</si>
  <si>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</si>
  <si>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</si>
  <si>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</si>
  <si>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</si>
  <si>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</si>
  <si>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</si>
  <si>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</si>
  <si>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</si>
  <si>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</si>
  <si>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</si>
  <si>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</si>
  <si>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</si>
  <si>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</si>
  <si>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</si>
  <si>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</si>
  <si>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</si>
  <si>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</si>
  <si>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</si>
  <si>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</si>
  <si>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</si>
  <si>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</si>
  <si>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</si>
  <si>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</si>
  <si>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</si>
  <si>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</si>
  <si>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</si>
  <si>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</si>
  <si>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</si>
  <si>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</si>
  <si>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</si>
  <si>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</si>
  <si>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</si>
  <si>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</si>
  <si>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</si>
  <si>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</si>
  <si>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</si>
  <si>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</si>
  <si>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</si>
  <si>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</si>
  <si>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</si>
  <si>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</si>
  <si>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</si>
  <si>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</si>
  <si>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</si>
  <si>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</si>
  <si>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</si>
  <si>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</si>
  <si>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</si>
  <si>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</si>
  <si>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</si>
  <si>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</si>
  <si>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</si>
  <si>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</si>
  <si>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</si>
  <si>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</si>
  <si>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</si>
  <si>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</si>
  <si>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</si>
  <si>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</si>
  <si>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</si>
  <si>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</si>
  <si>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</si>
  <si>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</si>
  <si>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</si>
  <si>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</si>
  <si>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</si>
  <si>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</si>
  <si>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</si>
  <si>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</si>
  <si>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</si>
  <si>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</si>
  <si>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</si>
  <si>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</si>
  <si>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</si>
  <si>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</si>
  <si>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</si>
  <si>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</si>
  <si>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</si>
  <si>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</si>
  <si>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</si>
  <si>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</si>
  <si>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</si>
  <si>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</si>
  <si>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</si>
  <si>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</si>
  <si>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</si>
  <si>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</si>
  <si>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</si>
  <si>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</si>
  <si>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</si>
  <si>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</si>
  <si>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</si>
  <si>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</si>
  <si>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</si>
  <si>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</si>
  <si>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</si>
  <si>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</si>
  <si>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</si>
  <si>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</si>
  <si>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</si>
  <si>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</si>
  <si>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</si>
  <si>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</si>
  <si>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</si>
  <si>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</si>
  <si>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</si>
  <si>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</si>
  <si>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</si>
  <si>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</si>
  <si>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</si>
  <si>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</si>
  <si>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</si>
  <si>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</si>
  <si>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</si>
  <si>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</si>
  <si>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</si>
  <si>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</si>
  <si>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</si>
  <si>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</si>
  <si>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</si>
  <si>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</si>
  <si>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</si>
  <si>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</si>
  <si>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</si>
  <si>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</si>
  <si>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</si>
  <si>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</si>
  <si>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</si>
  <si>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</si>
  <si>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</si>
  <si>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</si>
  <si>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</si>
  <si>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</si>
  <si>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</si>
  <si>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</si>
  <si>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</si>
  <si>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</si>
  <si>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</si>
  <si>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</si>
  <si>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</si>
  <si>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</si>
  <si>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</si>
  <si>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</si>
  <si>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</si>
  <si>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</si>
  <si>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</si>
  <si>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</si>
  <si>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</si>
  <si>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</si>
  <si>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</si>
  <si>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</si>
  <si>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</si>
  <si>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</si>
  <si>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</si>
  <si>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</si>
  <si>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</si>
  <si>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</si>
  <si>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</si>
  <si>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</si>
  <si>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</si>
  <si>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</si>
  <si>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</si>
  <si>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</si>
  <si>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</si>
  <si>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</si>
  <si>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</si>
  <si>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</si>
  <si>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</si>
  <si>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</si>
  <si>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</si>
  <si>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</si>
  <si>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</si>
  <si>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</si>
  <si>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</si>
  <si>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</si>
  <si>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</si>
  <si>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</si>
  <si>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</si>
  <si>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</si>
  <si>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</si>
  <si>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</si>
  <si>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</si>
  <si>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</si>
  <si>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</si>
  <si>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</si>
  <si>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</si>
  <si>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</si>
  <si>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</si>
  <si>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</si>
  <si>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</si>
  <si>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</si>
  <si>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</si>
  <si>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</si>
  <si>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</si>
  <si>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</si>
  <si>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</si>
  <si>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</si>
  <si>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</si>
  <si>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</si>
  <si>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</si>
  <si>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</si>
  <si>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</si>
  <si>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</si>
  <si>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</si>
  <si>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</si>
  <si>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</si>
  <si>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</si>
  <si>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</si>
  <si>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</si>
  <si>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</si>
  <si>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</si>
  <si>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</si>
  <si>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</si>
  <si>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</si>
  <si>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</si>
  <si>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</si>
  <si>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</si>
  <si>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</si>
  <si>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</si>
  <si>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</si>
  <si>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</si>
  <si>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</si>
  <si>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</si>
  <si>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</si>
  <si>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</si>
  <si>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</si>
  <si>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</si>
  <si>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</si>
  <si>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</si>
  <si>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</si>
  <si>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</si>
  <si>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</si>
  <si>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</si>
  <si>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</si>
  <si>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</si>
  <si>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</si>
  <si>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</si>
  <si>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</si>
  <si>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</si>
  <si>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</si>
  <si>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</si>
  <si>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</si>
  <si>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</si>
  <si>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</si>
  <si>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</si>
  <si>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</si>
  <si>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</si>
  <si>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</si>
  <si>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</si>
  <si>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</si>
  <si>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</si>
  <si>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</si>
  <si>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</si>
  <si>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</si>
  <si>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</si>
  <si>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</si>
  <si>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</si>
  <si>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</si>
  <si>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</si>
  <si>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</si>
  <si>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</si>
  <si>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</si>
  <si>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</si>
  <si>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</si>
  <si>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</si>
  <si>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</si>
  <si>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</si>
  <si>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</si>
  <si>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</si>
  <si>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</si>
  <si>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</si>
  <si>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</si>
  <si>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</si>
  <si>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</si>
  <si>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</si>
  <si>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</si>
  <si>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</si>
  <si>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</si>
  <si>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</si>
  <si>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</si>
  <si>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</si>
  <si>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</si>
  <si>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</si>
  <si>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</si>
  <si>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</si>
  <si>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</si>
  <si>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</si>
  <si>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</si>
  <si>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</si>
  <si>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</si>
  <si>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</si>
  <si>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</si>
  <si>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</si>
  <si>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</si>
  <si>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</si>
  <si>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</si>
  <si>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</si>
  <si>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</si>
  <si>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</si>
  <si>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</si>
  <si>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</si>
  <si>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</si>
  <si>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</si>
  <si>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</si>
  <si>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</si>
  <si>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</si>
  <si>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</si>
  <si>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</si>
  <si>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</si>
  <si>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</si>
  <si>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</si>
  <si>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</si>
  <si>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</si>
  <si>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</si>
  <si>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</si>
  <si>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</si>
  <si>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</si>
  <si>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</si>
  <si>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</si>
  <si>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</si>
  <si>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</si>
  <si>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</si>
  <si>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</si>
  <si>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</si>
  <si>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</si>
  <si>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</si>
  <si>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</si>
  <si>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</si>
  <si>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</si>
  <si>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</si>
  <si>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</si>
  <si>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</si>
  <si>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</si>
  <si>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</si>
  <si>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</si>
  <si>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</si>
  <si>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</si>
  <si>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</si>
  <si>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</si>
  <si>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</si>
  <si>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</si>
  <si>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</si>
  <si>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</si>
  <si>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</si>
  <si>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</si>
  <si>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</si>
  <si>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</si>
  <si>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</si>
  <si>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</si>
  <si>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</si>
  <si>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</si>
  <si>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</si>
  <si>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</si>
  <si>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</si>
  <si>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</si>
  <si>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</si>
  <si>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</si>
  <si>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</si>
  <si>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</si>
  <si>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</si>
  <si>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</si>
  <si>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</si>
  <si>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</si>
  <si>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</si>
  <si>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</si>
  <si>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</si>
  <si>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</si>
  <si>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</si>
  <si>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</si>
  <si>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</si>
  <si>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</si>
  <si>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</si>
  <si>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</si>
  <si>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</si>
  <si>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</si>
  <si>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</si>
  <si>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</si>
  <si>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</si>
  <si>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</si>
  <si>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</si>
  <si>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</si>
  <si>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</si>
  <si>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</si>
  <si>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</si>
  <si>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</si>
  <si>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</si>
  <si>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</si>
  <si>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</si>
  <si>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</si>
  <si>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</si>
  <si>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</si>
  <si>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</si>
  <si>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</si>
  <si>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</si>
  <si>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</si>
  <si>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</si>
  <si>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</si>
  <si>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</si>
  <si>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</si>
  <si>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</si>
  <si>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</si>
  <si>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</si>
  <si>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</si>
  <si>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</si>
  <si>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</si>
  <si>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</si>
  <si>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</si>
  <si>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</si>
  <si>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</si>
  <si>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</si>
  <si>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</si>
  <si>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</si>
  <si>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</si>
  <si>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</si>
  <si>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</si>
  <si>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</si>
  <si>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</si>
  <si>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</si>
  <si>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</si>
  <si>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</si>
  <si>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</si>
  <si>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</si>
  <si>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</si>
  <si>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</si>
  <si>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</si>
  <si>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</si>
  <si>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</si>
  <si>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</si>
  <si>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</si>
  <si>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</si>
  <si>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</si>
  <si>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</si>
  <si>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</si>
  <si>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</si>
  <si>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</si>
  <si>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</si>
  <si>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</si>
  <si>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</si>
  <si>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</si>
  <si>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</si>
  <si>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</si>
  <si>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</si>
  <si>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</si>
  <si>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</si>
  <si>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</si>
  <si>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</si>
  <si>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</si>
  <si>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</si>
  <si>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</si>
  <si>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</si>
  <si>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</si>
  <si>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</si>
  <si>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</si>
  <si>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</si>
  <si>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</si>
  <si>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</si>
  <si>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</si>
  <si>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</si>
  <si>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</si>
  <si>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</si>
  <si>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</si>
  <si>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</si>
  <si>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</si>
  <si>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</si>
  <si>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</si>
  <si>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</si>
  <si>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</si>
  <si>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</si>
  <si>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</si>
  <si>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</si>
  <si>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</si>
  <si>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</si>
  <si>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</si>
  <si>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</si>
  <si>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</si>
  <si>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</si>
  <si>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</si>
  <si>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</si>
  <si>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</si>
  <si>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</si>
  <si>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</si>
  <si>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</si>
  <si>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</si>
  <si>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</si>
  <si>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</si>
  <si>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</si>
  <si>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</si>
  <si>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</si>
  <si>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</si>
  <si>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</si>
  <si>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</si>
  <si>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</si>
  <si>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</si>
  <si>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</si>
  <si>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</si>
  <si>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</si>
  <si>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</si>
  <si>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</si>
  <si>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</si>
  <si>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</si>
  <si>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</si>
  <si>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</si>
  <si>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</si>
  <si>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</si>
  <si>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</si>
  <si>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</si>
  <si>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</si>
  <si>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</si>
  <si>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</si>
  <si>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</si>
  <si>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</si>
  <si>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</si>
  <si>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</si>
  <si>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</si>
  <si>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</si>
  <si>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</si>
  <si>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</si>
  <si>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</si>
  <si>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</si>
  <si>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</si>
  <si>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</si>
  <si>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</si>
  <si>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</si>
  <si>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</si>
  <si>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</si>
  <si>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</si>
  <si>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</si>
  <si>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</si>
  <si>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</si>
  <si>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</si>
  <si>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</si>
  <si>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</si>
  <si>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</si>
  <si>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</si>
  <si>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</si>
  <si>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</si>
  <si>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</si>
  <si>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</si>
  <si>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</si>
  <si>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</si>
  <si>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</si>
  <si>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</si>
  <si>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</si>
  <si>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</si>
  <si>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</si>
  <si>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</si>
  <si>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</si>
  <si>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</si>
  <si>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</si>
  <si>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</si>
  <si>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</si>
  <si>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</si>
  <si>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</si>
  <si>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</si>
  <si>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</si>
  <si>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</si>
  <si>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</si>
  <si>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</si>
  <si>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</si>
  <si>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</si>
  <si>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</si>
  <si>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</si>
  <si>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</si>
  <si>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</si>
  <si>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</si>
  <si>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</si>
  <si>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</si>
  <si>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</si>
  <si>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</si>
  <si>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</si>
  <si>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</si>
  <si>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</si>
  <si>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</si>
  <si>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</si>
  <si>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</si>
  <si>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</si>
  <si>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</si>
  <si>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</si>
  <si>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</si>
  <si>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</si>
  <si>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</si>
  <si>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</si>
  <si>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</si>
  <si>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</si>
  <si>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</si>
  <si>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</si>
  <si>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</si>
  <si>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</si>
  <si>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</si>
  <si>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</si>
  <si>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</si>
  <si>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</si>
  <si>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</si>
  <si>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</si>
  <si>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</si>
  <si>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</si>
  <si>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</si>
  <si>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</si>
  <si>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</si>
  <si>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</si>
  <si>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</si>
  <si>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</si>
  <si>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</si>
  <si>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</si>
  <si>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</si>
  <si>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</si>
  <si>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</si>
  <si>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</si>
  <si>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</si>
  <si>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</si>
  <si>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</si>
  <si>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</si>
  <si>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</si>
  <si>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</si>
  <si>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</si>
  <si>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</si>
  <si>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</si>
  <si>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</si>
  <si>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</si>
  <si>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</si>
  <si>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</si>
  <si>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</si>
  <si>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</si>
  <si>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</si>
  <si>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</si>
  <si>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</si>
  <si>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</si>
  <si>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</si>
  <si>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</si>
  <si>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</si>
  <si>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</si>
  <si>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</si>
  <si>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</si>
  <si>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</si>
  <si>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</si>
  <si>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</si>
  <si>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</si>
  <si>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</si>
  <si>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</si>
  <si>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</si>
  <si>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</si>
  <si>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</si>
  <si>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</si>
  <si>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</si>
  <si>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</si>
  <si>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</si>
  <si>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</si>
  <si>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</si>
  <si>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</si>
  <si>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</si>
  <si>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</si>
  <si>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</si>
  <si>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</si>
  <si>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</si>
  <si>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</si>
  <si>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</si>
  <si>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</si>
  <si>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</si>
  <si>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</si>
  <si>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</si>
  <si>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</si>
  <si>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</si>
  <si>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</si>
  <si>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</si>
  <si>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</si>
  <si>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</si>
  <si>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</si>
  <si>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</si>
  <si>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</si>
  <si>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</si>
  <si>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</si>
  <si>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</si>
  <si>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</si>
  <si>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</si>
  <si>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</si>
  <si>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</si>
  <si>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</si>
  <si>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</si>
  <si>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</si>
  <si>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</si>
  <si>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</si>
  <si>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</si>
  <si>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</si>
  <si>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</si>
  <si>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</si>
  <si>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</si>
  <si>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</si>
  <si>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</si>
  <si>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</si>
  <si>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</si>
  <si>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</si>
  <si>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</si>
  <si>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</si>
  <si>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</si>
  <si>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</si>
  <si>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</si>
  <si>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</si>
  <si>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</si>
  <si>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</si>
  <si>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</si>
  <si>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</si>
  <si>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</si>
  <si>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</si>
  <si>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</si>
  <si>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</si>
  <si>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</si>
  <si>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</si>
  <si>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</si>
  <si>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</si>
  <si>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</si>
  <si>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</si>
  <si>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</si>
  <si>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</si>
  <si>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</si>
  <si>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</si>
  <si>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</si>
  <si>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</si>
  <si>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</si>
  <si>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</si>
  <si>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</si>
  <si>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</si>
  <si>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</si>
  <si>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</si>
  <si>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</si>
  <si>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</si>
  <si>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</si>
  <si>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</si>
  <si>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</si>
  <si>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</si>
  <si>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</si>
  <si>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</si>
  <si>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</si>
  <si>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</si>
  <si>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</si>
  <si>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</si>
  <si>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</si>
  <si>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</si>
  <si>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</si>
  <si>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</si>
  <si>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</si>
  <si>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</si>
  <si>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</si>
  <si>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</si>
  <si>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</si>
  <si>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</si>
  <si>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</si>
  <si>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</si>
  <si>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</si>
  <si>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</si>
  <si>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</si>
  <si>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</si>
  <si>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</si>
  <si>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</si>
  <si>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</si>
  <si>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</si>
  <si>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</si>
  <si>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</si>
  <si>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</si>
  <si>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</si>
  <si>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</si>
  <si>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</si>
  <si>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</si>
  <si>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</si>
  <si>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</si>
  <si>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</si>
  <si>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</si>
  <si>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</si>
  <si>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</si>
  <si>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</si>
  <si>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</si>
  <si>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</si>
  <si>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</si>
  <si>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</si>
  <si>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</si>
  <si>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</si>
  <si>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</si>
  <si>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</si>
  <si>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</si>
  <si>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</si>
  <si>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</si>
  <si>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</si>
  <si>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</si>
  <si>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</si>
  <si>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</si>
  <si>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</si>
  <si>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</si>
  <si>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</si>
  <si>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</si>
  <si>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</si>
  <si>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</si>
  <si>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</si>
  <si>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</si>
  <si>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</si>
  <si>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</si>
  <si>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</si>
  <si>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</si>
  <si>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</si>
  <si>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</si>
  <si>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</si>
  <si>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</si>
  <si>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</si>
  <si>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</si>
  <si>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</si>
  <si>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</si>
  <si>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</si>
  <si>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</si>
  <si>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</si>
  <si>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</si>
  <si>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</si>
  <si>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</si>
  <si>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</si>
  <si>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</si>
  <si>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</si>
  <si>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</si>
  <si>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</si>
  <si>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</si>
  <si>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</si>
  <si>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</si>
  <si>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</si>
  <si>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</si>
  <si>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</si>
  <si>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</si>
  <si>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</si>
  <si>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</si>
  <si>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</si>
  <si>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</si>
  <si>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</si>
  <si>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</si>
  <si>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</si>
  <si>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</si>
  <si>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</si>
  <si>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</si>
  <si>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</si>
  <si>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</si>
  <si>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</si>
  <si>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</si>
  <si>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</si>
  <si>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</si>
  <si>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</si>
  <si>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</si>
  <si>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</si>
  <si>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</si>
  <si>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</si>
  <si>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</si>
  <si>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</si>
  <si>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</si>
  <si>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</si>
  <si>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</si>
  <si>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</si>
  <si>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</si>
  <si>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</si>
  <si>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</si>
  <si>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</si>
  <si>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</si>
  <si>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</si>
  <si>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</si>
  <si>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</si>
  <si>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</si>
  <si>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</si>
  <si>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</si>
  <si>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</si>
  <si>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</si>
  <si>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</si>
  <si>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</si>
  <si>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</si>
  <si>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</si>
  <si>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</si>
  <si>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</si>
  <si>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</si>
  <si>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</si>
  <si>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</si>
  <si>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</si>
  <si>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</si>
  <si>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</si>
  <si>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</si>
  <si>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</si>
  <si>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</si>
  <si>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</si>
  <si>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</si>
  <si>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</si>
  <si>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</si>
  <si>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</si>
  <si>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</si>
  <si>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</si>
  <si>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</si>
  <si>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</si>
  <si>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</si>
  <si>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</si>
  <si>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</si>
  <si>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</si>
  <si>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</si>
  <si>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</si>
  <si>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</si>
  <si>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</si>
  <si>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</si>
  <si>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</si>
  <si>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</si>
  <si>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</si>
  <si>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</si>
  <si>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</si>
  <si>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</si>
  <si>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</si>
  <si>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</si>
  <si>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</si>
  <si>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</si>
  <si>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</si>
  <si>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</si>
  <si>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</si>
  <si>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</si>
  <si>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</si>
  <si>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</si>
  <si>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</si>
  <si>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</si>
  <si>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</si>
  <si>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</si>
  <si>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</si>
  <si>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</si>
  <si>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</si>
  <si>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</si>
  <si>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</si>
  <si>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</si>
  <si>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</si>
  <si>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</si>
  <si>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</si>
  <si>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</si>
  <si>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</si>
  <si>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</si>
  <si>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</si>
  <si>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</si>
  <si>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</si>
  <si>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</si>
  <si>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</si>
  <si>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</si>
  <si>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</si>
  <si>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</si>
  <si>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</si>
  <si>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</si>
  <si>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</si>
  <si>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</si>
  <si>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</si>
  <si>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</si>
  <si>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</si>
  <si>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</si>
  <si>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</si>
  <si>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</si>
  <si>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</si>
  <si>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</si>
  <si>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</si>
  <si>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</si>
  <si>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</si>
  <si>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</si>
  <si>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</si>
  <si>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</si>
  <si>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</si>
  <si>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</si>
  <si>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</si>
  <si>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</si>
  <si>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</si>
  <si>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</si>
  <si>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</si>
  <si>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</si>
  <si>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</si>
  <si>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</si>
  <si>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</si>
  <si>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</si>
  <si>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</si>
  <si>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</si>
  <si>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</si>
  <si>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</si>
  <si>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</si>
  <si>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</si>
  <si>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</si>
  <si>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</si>
  <si>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</si>
  <si>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</si>
  <si>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</si>
  <si>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</si>
  <si>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</si>
  <si>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</si>
  <si>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</si>
  <si>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</si>
  <si>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</si>
  <si>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</si>
  <si>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</si>
  <si>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</si>
  <si>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</si>
  <si>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</si>
  <si>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</si>
  <si>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</si>
  <si>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</si>
  <si>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</si>
  <si>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</si>
  <si>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</si>
  <si>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</si>
  <si>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</si>
  <si>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</si>
  <si>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</si>
  <si>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</si>
  <si>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</si>
  <si>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</si>
  <si>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</si>
  <si>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</si>
  <si>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</si>
  <si>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</si>
  <si>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</si>
  <si>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</si>
  <si>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</si>
  <si>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</si>
  <si>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</si>
  <si>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</si>
  <si>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</si>
  <si>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</si>
  <si>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</si>
  <si>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</si>
  <si>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</si>
  <si>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</si>
  <si>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</si>
  <si>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</si>
  <si>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</si>
  <si>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</si>
  <si>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</si>
  <si>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</si>
  <si>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</si>
  <si>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</si>
  <si>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</si>
  <si>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</si>
  <si>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</si>
  <si>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</si>
  <si>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</si>
  <si>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</si>
  <si>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</si>
  <si>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</si>
  <si>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</si>
  <si>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</si>
  <si>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</si>
  <si>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</si>
  <si>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</si>
  <si>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</si>
  <si>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</si>
  <si>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</si>
  <si>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</si>
  <si>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</si>
  <si>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</si>
  <si>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</si>
  <si>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</si>
  <si>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</si>
  <si>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</si>
  <si>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</si>
  <si>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</si>
  <si>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</si>
  <si>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</si>
  <si>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</si>
  <si>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</si>
  <si>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</si>
  <si>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</si>
  <si>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</si>
  <si>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</si>
  <si>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</si>
  <si>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</si>
  <si>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</si>
  <si>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</si>
  <si>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</si>
  <si>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</si>
  <si>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</si>
  <si>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</si>
  <si>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</si>
  <si>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</si>
  <si>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</si>
  <si>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</si>
  <si>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</si>
  <si>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</si>
  <si>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</si>
  <si>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</si>
  <si>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</si>
  <si>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</si>
  <si>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</si>
  <si>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</si>
  <si>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</si>
  <si>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</si>
  <si>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</si>
  <si>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</si>
  <si>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</si>
  <si>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</si>
  <si>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</si>
  <si>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</si>
  <si>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</si>
  <si>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</si>
  <si>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</si>
  <si>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</si>
  <si>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</si>
  <si>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</si>
  <si>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</si>
  <si>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</si>
  <si>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</si>
  <si>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</si>
  <si>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</si>
  <si>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</si>
  <si>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</si>
  <si>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</si>
  <si>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</si>
  <si>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</si>
  <si>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</si>
  <si>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</si>
  <si>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</si>
  <si>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</si>
  <si>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</si>
  <si>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</si>
  <si>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</si>
  <si>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</si>
  <si>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</si>
  <si>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</si>
  <si>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</si>
  <si>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</si>
  <si>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</si>
  <si>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</si>
  <si>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</si>
  <si>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</si>
  <si>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</si>
  <si>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</si>
  <si>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</si>
  <si>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</si>
  <si>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</si>
  <si>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</si>
  <si>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</si>
  <si>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</si>
  <si>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</si>
  <si>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</si>
  <si>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</si>
  <si>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</si>
  <si>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</si>
  <si>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</si>
  <si>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</si>
  <si>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</si>
  <si>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</si>
  <si>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</si>
  <si>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</si>
  <si>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</si>
  <si>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</si>
  <si>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</si>
  <si>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</si>
  <si>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</si>
  <si>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</si>
  <si>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</si>
  <si>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</si>
  <si>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</si>
  <si>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</si>
  <si>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</si>
  <si>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</si>
  <si>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</si>
  <si>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</si>
  <si>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</si>
  <si>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</si>
  <si>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</si>
  <si>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</si>
  <si>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</si>
  <si>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</si>
  <si>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</si>
  <si>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</si>
  <si>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</si>
  <si>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</si>
  <si>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</si>
  <si>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</si>
  <si>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</si>
  <si>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</si>
  <si>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</si>
  <si>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</si>
  <si>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</si>
  <si>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</si>
  <si>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</si>
  <si>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</si>
  <si>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</si>
  <si>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</si>
  <si>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</si>
  <si>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</si>
  <si>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</si>
  <si>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</si>
  <si>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</si>
  <si>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</si>
  <si>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</si>
  <si>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</si>
  <si>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</si>
  <si>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</si>
  <si>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</si>
  <si>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</si>
  <si>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</si>
  <si>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</si>
  <si>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</si>
  <si>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</si>
  <si>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</si>
  <si>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</si>
  <si>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</si>
  <si>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</si>
  <si>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</si>
  <si>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</si>
  <si>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</si>
  <si>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</si>
  <si>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</si>
  <si>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</si>
  <si>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</si>
  <si>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</si>
  <si>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</si>
  <si>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</si>
  <si>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</si>
  <si>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</si>
  <si>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</si>
  <si>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</si>
  <si>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</si>
  <si>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</si>
  <si>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</si>
  <si>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</si>
  <si>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</si>
  <si>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</si>
  <si>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</si>
  <si>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</si>
  <si>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</si>
  <si>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</si>
  <si>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</si>
  <si>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</si>
  <si>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</si>
  <si>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</si>
  <si>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</si>
  <si>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</si>
  <si>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</si>
  <si>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</si>
  <si>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</si>
  <si>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</si>
  <si>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</si>
  <si>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</si>
  <si>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</si>
  <si>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</si>
  <si>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</si>
  <si>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</si>
  <si>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</si>
  <si>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</si>
  <si>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</si>
  <si>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</si>
  <si>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</si>
  <si>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</si>
  <si>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</si>
  <si>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</si>
  <si>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</si>
  <si>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</si>
  <si>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</si>
  <si>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</si>
  <si>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</si>
  <si>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</si>
  <si>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</si>
  <si>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</si>
  <si>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</si>
  <si>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</si>
  <si>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</si>
  <si>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</si>
  <si>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</si>
  <si>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</si>
  <si>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</si>
  <si>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</si>
  <si>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</si>
  <si>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</si>
  <si>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</si>
  <si>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</si>
  <si>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</si>
  <si>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</si>
  <si>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</si>
  <si>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</si>
  <si>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</si>
  <si>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</si>
  <si>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</si>
  <si>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</si>
  <si>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</si>
  <si>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</si>
  <si>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</si>
  <si>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</si>
  <si>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</si>
  <si>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</si>
  <si>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</si>
  <si>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</si>
  <si>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</si>
  <si>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</si>
  <si>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</si>
  <si>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</si>
  <si>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</si>
  <si>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</si>
  <si>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</si>
  <si>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</si>
  <si>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</si>
  <si>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</si>
  <si>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</si>
  <si>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</si>
  <si>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</si>
  <si>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</si>
  <si>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</si>
  <si>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</si>
  <si>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</si>
  <si>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</si>
  <si>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</si>
  <si>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</si>
  <si>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</si>
  <si>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</si>
  <si>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</si>
  <si>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</si>
  <si>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</si>
  <si>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</si>
  <si>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</si>
  <si>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</si>
  <si>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</si>
  <si>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</si>
  <si>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</si>
  <si>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</si>
  <si>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</si>
  <si>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</si>
  <si>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</si>
  <si>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</si>
  <si>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</si>
  <si>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</si>
  <si>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</si>
  <si>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</si>
  <si>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</si>
  <si>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</si>
  <si>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</si>
  <si>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</si>
  <si>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</si>
  <si>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</si>
  <si>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</si>
  <si>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</si>
  <si>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</si>
  <si>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</si>
  <si>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</si>
  <si>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</si>
  <si>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</si>
  <si>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</si>
  <si>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</si>
  <si>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</si>
  <si>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</si>
  <si>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</si>
  <si>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</si>
  <si>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</si>
  <si>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</si>
  <si>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</si>
  <si>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</si>
  <si>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</si>
  <si>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</si>
  <si>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</si>
  <si>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</si>
  <si>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</si>
  <si>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</si>
  <si>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</si>
  <si>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</si>
  <si>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</si>
  <si>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</si>
  <si>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</si>
  <si>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</si>
  <si>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</si>
  <si>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</si>
  <si>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</si>
  <si>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</si>
  <si>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</si>
  <si>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</si>
  <si>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</si>
  <si>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</si>
  <si>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</si>
  <si>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</si>
  <si>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</si>
  <si>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</si>
  <si>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</si>
  <si>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</si>
  <si>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</si>
  <si>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</si>
  <si>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</si>
  <si>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</si>
  <si>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</si>
  <si>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</si>
  <si>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</si>
  <si>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</si>
  <si>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</si>
  <si>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</si>
  <si>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</si>
  <si>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</si>
  <si>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</si>
  <si>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</si>
  <si>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</si>
  <si>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</si>
  <si>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</si>
  <si>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</si>
  <si>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</si>
  <si>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</si>
  <si>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</si>
  <si>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</si>
  <si>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</si>
  <si>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</si>
  <si>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</si>
  <si>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</si>
  <si>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</si>
  <si>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</si>
  <si>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</si>
  <si>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</si>
  <si>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</si>
  <si>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</si>
  <si>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</si>
  <si>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</si>
  <si>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</si>
  <si>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</si>
  <si>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</si>
  <si>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</si>
  <si>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</si>
  <si>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</si>
  <si>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</si>
  <si>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</si>
  <si>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</si>
  <si>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</si>
  <si>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</si>
  <si>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</si>
  <si>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</si>
  <si>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</si>
  <si>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</si>
  <si>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</si>
  <si>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</si>
  <si>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</si>
  <si>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</si>
  <si>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</si>
  <si>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</si>
  <si>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</si>
  <si>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</si>
  <si>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</si>
  <si>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</si>
  <si>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</si>
  <si>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</si>
  <si>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</si>
  <si>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</si>
  <si>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</si>
  <si>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</si>
  <si>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</si>
  <si>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</si>
  <si>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</si>
  <si>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</si>
  <si>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</si>
  <si>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</si>
  <si>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</si>
  <si>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</si>
  <si>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</si>
  <si>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</si>
  <si>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</si>
  <si>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</si>
  <si>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</si>
  <si>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</si>
  <si>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</si>
  <si>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</si>
  <si>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</si>
  <si>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</si>
  <si>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</si>
  <si>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</si>
  <si>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</si>
  <si>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</si>
  <si>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</si>
  <si>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</si>
  <si>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</si>
  <si>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</si>
  <si>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</si>
  <si>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</si>
  <si>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</si>
  <si>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</si>
  <si>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</si>
  <si>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</si>
  <si>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</si>
  <si>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</si>
  <si>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</si>
  <si>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</si>
  <si>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</si>
  <si>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</si>
  <si>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</si>
  <si>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</si>
  <si>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</si>
  <si>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</si>
  <si>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</si>
  <si>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</si>
  <si>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</si>
  <si>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</si>
  <si>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</si>
  <si>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</si>
  <si>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</si>
  <si>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</si>
  <si>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</si>
  <si>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</si>
  <si>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</si>
  <si>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</si>
  <si>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</si>
  <si>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</si>
  <si>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</si>
  <si>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</si>
  <si>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</si>
  <si>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</si>
  <si>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</si>
  <si>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</si>
  <si>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</si>
  <si>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</si>
  <si>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</si>
  <si>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</si>
  <si>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</si>
  <si>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</si>
  <si>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</si>
  <si>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</si>
  <si>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</si>
  <si>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</si>
  <si>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</si>
  <si>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</si>
  <si>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</si>
  <si>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</si>
  <si>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</si>
  <si>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</si>
  <si>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</si>
  <si>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</si>
  <si>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</si>
  <si>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</si>
  <si>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</si>
  <si>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</si>
  <si>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</si>
  <si>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</si>
  <si>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</si>
  <si>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</si>
  <si>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</si>
  <si>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</si>
  <si>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</si>
  <si>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</si>
  <si>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</si>
  <si>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</si>
  <si>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</si>
  <si>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</si>
  <si>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</si>
  <si>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</si>
  <si>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</si>
  <si>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</si>
  <si>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</si>
  <si>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</si>
  <si>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</si>
  <si>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</si>
  <si>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</si>
  <si>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</si>
  <si>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</si>
  <si>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</si>
  <si>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</si>
  <si>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</si>
  <si>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</si>
  <si>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</si>
  <si>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</si>
  <si>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</si>
  <si>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</si>
  <si>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</si>
  <si>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</si>
  <si>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</si>
  <si>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</si>
  <si>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</si>
  <si>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</si>
  <si>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</si>
  <si>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</si>
  <si>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</si>
  <si>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</si>
  <si>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</si>
  <si>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</si>
  <si>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</si>
  <si>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</si>
  <si>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</si>
  <si>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</si>
  <si>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</si>
  <si>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</si>
  <si>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</si>
  <si>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</si>
  <si>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</si>
  <si>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</si>
  <si>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</si>
  <si>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</si>
  <si>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</si>
  <si>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</si>
  <si>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</si>
  <si>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</si>
  <si>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</si>
  <si>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</si>
  <si>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</si>
  <si>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</si>
  <si>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</si>
  <si>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</si>
  <si>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</si>
  <si>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</si>
  <si>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</si>
  <si>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</si>
  <si>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</si>
  <si>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</si>
  <si>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</si>
  <si>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</si>
  <si>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</si>
  <si>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</si>
  <si>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</si>
  <si>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</si>
  <si>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</si>
  <si>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</si>
  <si>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</si>
  <si>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</si>
  <si>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</si>
  <si>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</si>
  <si>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</si>
  <si>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</si>
  <si>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</si>
  <si>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</si>
  <si>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</si>
  <si>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</si>
  <si>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</si>
  <si>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</si>
  <si>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</si>
  <si>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</si>
  <si>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</si>
  <si>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</si>
  <si>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</si>
  <si>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</si>
  <si>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</si>
  <si>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</si>
  <si>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</si>
  <si>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</si>
  <si>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</si>
  <si>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</si>
  <si>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</si>
  <si>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</si>
  <si>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</si>
  <si>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</si>
  <si>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</si>
  <si>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</si>
  <si>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</si>
  <si>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</si>
  <si>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</si>
  <si>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</si>
  <si>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</si>
  <si>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</si>
  <si>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</si>
  <si>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</si>
  <si>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</si>
  <si>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</si>
  <si>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</si>
  <si>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</si>
  <si>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</si>
  <si>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</si>
  <si>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</si>
  <si>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</si>
  <si>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</si>
  <si>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</si>
  <si>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</si>
  <si>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</si>
  <si>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</si>
  <si>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</si>
  <si>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</si>
  <si>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</si>
  <si>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</si>
  <si>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</si>
  <si>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</si>
  <si>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</si>
  <si>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</si>
  <si>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</si>
  <si>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</si>
  <si>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</si>
  <si>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</si>
  <si>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</si>
  <si>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</si>
  <si>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</si>
  <si>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</si>
  <si>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</si>
  <si>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</si>
  <si>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</si>
  <si>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</si>
  <si>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</si>
  <si>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</si>
  <si>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</si>
  <si>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</si>
  <si>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</si>
  <si>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</si>
  <si>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</si>
  <si>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</si>
  <si>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</si>
  <si>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</si>
  <si>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</si>
  <si>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</si>
  <si>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</si>
  <si>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</si>
  <si>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</si>
  <si>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</si>
  <si>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</si>
  <si>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</si>
  <si>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</si>
  <si>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</si>
  <si>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</si>
  <si>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</si>
  <si>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</si>
  <si>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</si>
  <si>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</si>
  <si>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</si>
  <si>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</si>
  <si>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</si>
  <si>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</si>
  <si>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</si>
  <si>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</si>
  <si>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</si>
  <si>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</si>
  <si>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</si>
  <si>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</si>
  <si>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</si>
  <si>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</si>
  <si>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</si>
  <si>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</si>
  <si>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</si>
  <si>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</si>
  <si>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</si>
  <si>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</si>
  <si>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</si>
  <si>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</si>
  <si>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</si>
  <si>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</si>
  <si>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</si>
  <si>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</si>
  <si>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</si>
  <si>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</si>
  <si>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</si>
  <si>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</si>
  <si>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</si>
  <si>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</si>
  <si>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</si>
  <si>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</si>
  <si>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</si>
  <si>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</si>
  <si>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</si>
  <si>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</si>
  <si>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</si>
  <si>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</si>
  <si>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</si>
  <si>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</si>
  <si>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</si>
  <si>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</si>
  <si>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</si>
  <si>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</si>
  <si>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</si>
  <si>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</si>
  <si>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</si>
  <si>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</si>
  <si>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</si>
  <si>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</si>
  <si>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</si>
  <si>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</si>
  <si>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</si>
  <si>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</si>
  <si>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</si>
  <si>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</si>
  <si>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</si>
  <si>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</si>
  <si>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</si>
  <si>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</si>
  <si>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</si>
  <si>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</si>
  <si>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</si>
  <si>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</si>
  <si>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</si>
  <si>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</si>
  <si>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</si>
  <si>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</si>
  <si>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</si>
  <si>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</si>
  <si>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</si>
  <si>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</si>
  <si>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</si>
  <si>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</si>
  <si>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</si>
  <si>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</si>
  <si>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</si>
  <si>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</si>
  <si>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</si>
  <si>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</si>
  <si>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</si>
  <si>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</si>
  <si>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</si>
  <si>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</si>
  <si>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</si>
  <si>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</si>
  <si>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</si>
  <si>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</si>
  <si>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</si>
  <si>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</si>
  <si>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</si>
  <si>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</si>
  <si>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</si>
  <si>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</si>
  <si>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</si>
  <si>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</si>
  <si>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</si>
  <si>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</si>
  <si>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</si>
  <si>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</si>
  <si>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</si>
  <si>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</si>
  <si>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</si>
  <si>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</si>
  <si>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</si>
  <si>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</si>
  <si>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</si>
  <si>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</si>
  <si>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</si>
  <si>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</si>
  <si>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</si>
  <si>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</si>
  <si>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</si>
  <si>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</si>
  <si>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</si>
  <si>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</si>
  <si>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</si>
  <si>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</si>
  <si>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</si>
  <si>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</si>
  <si>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</si>
  <si>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</si>
  <si>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</si>
  <si>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</si>
  <si>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</si>
  <si>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</si>
  <si>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</si>
  <si>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</si>
  <si>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</si>
  <si>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</si>
  <si>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</si>
  <si>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</si>
  <si>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</si>
  <si>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</si>
  <si>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</si>
  <si>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</si>
  <si>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</si>
  <si>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</si>
  <si>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</si>
  <si>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</si>
  <si>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</si>
  <si>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</si>
  <si>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</si>
  <si>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</si>
  <si>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</si>
  <si>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</si>
  <si>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</si>
  <si>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</si>
  <si>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</si>
  <si>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</si>
  <si>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</si>
  <si>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</si>
  <si>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</si>
  <si>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</si>
  <si>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</si>
  <si>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</si>
  <si>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</si>
  <si>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</si>
  <si>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</si>
  <si>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</si>
  <si>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</si>
  <si>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</si>
  <si>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</si>
  <si>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</si>
  <si>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</si>
  <si>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</si>
  <si>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</si>
  <si>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</si>
  <si>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</si>
  <si>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</si>
  <si>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</si>
  <si>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</si>
  <si>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</si>
  <si>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</si>
  <si>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</si>
  <si>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</si>
  <si>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</si>
  <si>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</si>
  <si>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</si>
  <si>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</si>
  <si>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</si>
  <si>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</si>
  <si>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</si>
  <si>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</si>
  <si>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</si>
  <si>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</si>
  <si>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</si>
  <si>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</si>
  <si>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</si>
  <si>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</si>
  <si>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</si>
  <si>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</si>
  <si>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</si>
  <si>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</si>
  <si>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</si>
  <si>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</si>
  <si>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</si>
  <si>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</si>
  <si>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</si>
  <si>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</si>
  <si>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</si>
  <si>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</si>
  <si>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</si>
  <si>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</si>
  <si>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</si>
  <si>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</si>
  <si>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</si>
  <si>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</si>
  <si>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</si>
  <si>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</si>
  <si>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</si>
  <si>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</si>
  <si>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</si>
  <si>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</si>
  <si>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</si>
  <si>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</si>
  <si>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</si>
  <si>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</si>
  <si>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</si>
  <si>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</si>
  <si>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</si>
  <si>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</si>
  <si>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</si>
  <si>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</si>
  <si>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</si>
  <si>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</si>
  <si>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</si>
  <si>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</si>
  <si>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</si>
  <si>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</si>
  <si>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</si>
  <si>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</si>
  <si>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</si>
  <si>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</si>
  <si>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</si>
  <si>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</si>
  <si>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</si>
  <si>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</si>
  <si>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</si>
  <si>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</si>
  <si>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</si>
  <si>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</si>
  <si>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</si>
  <si>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</si>
  <si>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</si>
  <si>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</si>
  <si>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</si>
  <si>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</si>
  <si>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</si>
  <si>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</si>
  <si>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</si>
  <si>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</si>
  <si>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</si>
  <si>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</si>
  <si>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</si>
  <si>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</si>
  <si>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</si>
  <si>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</si>
  <si>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</si>
  <si>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</si>
  <si>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</si>
  <si>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</si>
  <si>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</si>
  <si>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</si>
  <si>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</si>
  <si>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</si>
  <si>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</si>
  <si>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</si>
  <si>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</si>
  <si>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</si>
  <si>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</si>
  <si>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</si>
  <si>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</si>
  <si>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</si>
  <si>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</si>
  <si>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</si>
  <si>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</si>
  <si>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</si>
  <si>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</si>
  <si>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</si>
  <si>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</si>
  <si>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</si>
  <si>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</si>
  <si>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</si>
  <si>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</si>
  <si>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</si>
  <si>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</si>
  <si>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</si>
  <si>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</si>
  <si>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</si>
  <si>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</si>
  <si>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</si>
  <si>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</si>
  <si>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</si>
  <si>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</si>
  <si>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</si>
  <si>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</si>
  <si>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</si>
  <si>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</si>
  <si>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</si>
  <si>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</si>
  <si>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</si>
  <si>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</si>
  <si>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</si>
  <si>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</si>
  <si>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</si>
  <si>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</si>
  <si>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</si>
  <si>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</si>
  <si>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</si>
  <si>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</si>
  <si>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</si>
  <si>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</si>
  <si>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</si>
  <si>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</si>
  <si>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</si>
  <si>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</si>
  <si>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</si>
  <si>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</si>
  <si>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</si>
  <si>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</si>
  <si>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</si>
  <si>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</si>
  <si>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</si>
  <si>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</si>
  <si>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</si>
  <si>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</si>
  <si>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</si>
  <si>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</si>
  <si>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</si>
  <si>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</si>
  <si>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</si>
  <si>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</si>
  <si>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</si>
  <si>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</si>
  <si>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</si>
  <si>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</si>
  <si>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</si>
  <si>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</si>
  <si>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</si>
  <si>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</si>
  <si>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</si>
  <si>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</si>
  <si>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</si>
  <si>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</si>
  <si>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</si>
  <si>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</si>
  <si>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</si>
  <si>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</si>
  <si>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</si>
  <si>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</si>
  <si>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</si>
  <si>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</si>
  <si>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</si>
  <si>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</si>
  <si>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</si>
  <si>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</si>
  <si>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</si>
  <si>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</si>
  <si>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</si>
  <si>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</si>
  <si>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</si>
  <si>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</si>
  <si>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</si>
  <si>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</si>
  <si>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</si>
  <si>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</si>
  <si>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</si>
  <si>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</si>
  <si>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</si>
  <si>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</si>
  <si>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</si>
  <si>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</si>
  <si>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</si>
  <si>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</si>
  <si>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</si>
  <si>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</si>
  <si>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</si>
  <si>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</si>
  <si>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</si>
  <si>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</si>
  <si>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</si>
  <si>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</si>
  <si>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</si>
  <si>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</si>
  <si>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</si>
  <si>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</si>
  <si>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</si>
  <si>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</si>
  <si>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</si>
  <si>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</si>
  <si>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</si>
  <si>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</si>
  <si>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</si>
  <si>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</si>
  <si>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</si>
  <si>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</si>
  <si>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</si>
  <si>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</si>
  <si>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</si>
  <si>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</si>
  <si>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</si>
  <si>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</si>
  <si>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</si>
  <si>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</si>
  <si>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</si>
  <si>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</si>
  <si>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</si>
  <si>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</si>
  <si>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</si>
  <si>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</si>
  <si>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</si>
  <si>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</si>
  <si>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</si>
  <si>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</si>
  <si>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</si>
  <si>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</si>
  <si>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</si>
  <si>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</si>
  <si>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</si>
  <si>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</si>
  <si>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</si>
  <si>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</si>
  <si>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</si>
  <si>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</si>
  <si>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</si>
  <si>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</si>
  <si>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</si>
  <si>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</si>
  <si>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</si>
  <si>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</si>
  <si>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</si>
  <si>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</si>
  <si>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</si>
  <si>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</si>
  <si>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</si>
  <si>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</si>
  <si>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</si>
  <si>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</si>
  <si>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</si>
  <si>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</si>
  <si>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</si>
  <si>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</si>
  <si>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</si>
  <si>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</si>
  <si>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</si>
  <si>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</si>
  <si>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</si>
  <si>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</si>
  <si>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</si>
  <si>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</si>
  <si>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</si>
  <si>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</si>
  <si>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</si>
  <si>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</si>
  <si>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</si>
  <si>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</si>
  <si>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</si>
  <si>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</si>
  <si>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</si>
  <si>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</si>
  <si>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</si>
  <si>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</si>
  <si>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</si>
  <si>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</si>
  <si>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</si>
  <si>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</si>
  <si>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</si>
  <si>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</si>
  <si>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</si>
  <si>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</si>
  <si>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</si>
  <si>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</si>
  <si>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</si>
  <si>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</si>
  <si>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</si>
  <si>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</si>
  <si>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</si>
  <si>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</si>
  <si>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</si>
  <si>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</si>
  <si>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</si>
  <si>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</si>
  <si>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</si>
  <si>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</si>
  <si>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</si>
  <si>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</si>
  <si>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</si>
  <si>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</si>
  <si>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</si>
  <si>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</si>
  <si>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</si>
  <si>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</si>
  <si>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</si>
  <si>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</si>
  <si>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</si>
  <si>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</si>
  <si>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</si>
  <si>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</si>
  <si>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</si>
  <si>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</si>
  <si>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</si>
  <si>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</si>
  <si>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</si>
  <si>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</si>
  <si>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</si>
  <si>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</si>
  <si>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</si>
  <si>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</si>
  <si>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</si>
  <si>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</si>
  <si>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</si>
  <si>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</si>
  <si>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</si>
  <si>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</si>
  <si>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</si>
  <si>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</si>
  <si>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</si>
  <si>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</si>
  <si>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</si>
  <si>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</si>
  <si>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</si>
  <si>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</si>
  <si>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</si>
  <si>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</si>
  <si>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</si>
  <si>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</si>
  <si>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</si>
  <si>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</si>
  <si>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</si>
  <si>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</si>
  <si>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</si>
  <si>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</si>
  <si>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</si>
  <si>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</si>
  <si>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</si>
  <si>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</si>
  <si>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</si>
  <si>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</si>
  <si>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</si>
  <si>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</si>
  <si>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</si>
  <si>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</si>
  <si>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</si>
  <si>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</si>
  <si>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</si>
  <si>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</si>
  <si>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</si>
  <si>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</si>
  <si>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</si>
  <si>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</si>
  <si>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</si>
  <si>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</si>
  <si>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</si>
  <si>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</si>
  <si>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</si>
  <si>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</si>
  <si>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</si>
  <si>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</si>
  <si>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</si>
  <si>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</si>
  <si>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</si>
  <si>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</si>
  <si>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</si>
  <si>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</si>
  <si>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</si>
  <si>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</si>
  <si>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</si>
  <si>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</si>
  <si>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</si>
  <si>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</si>
  <si>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</si>
  <si>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</si>
  <si>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</si>
  <si>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</si>
  <si>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</si>
  <si>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</si>
  <si>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</si>
  <si>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</si>
  <si>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</si>
  <si>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</si>
  <si>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</si>
  <si>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</si>
  <si>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</si>
  <si>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</si>
  <si>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</si>
  <si>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</si>
  <si>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</si>
  <si>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</si>
  <si>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</si>
  <si>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</si>
  <si>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</si>
  <si>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</si>
  <si>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</si>
  <si>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</si>
  <si>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</si>
  <si>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</si>
  <si>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</si>
  <si>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</si>
  <si>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</si>
  <si>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</si>
  <si>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</si>
  <si>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</si>
  <si>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</si>
  <si>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</si>
  <si>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</si>
  <si>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</si>
  <si>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</si>
  <si>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</si>
  <si>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</si>
  <si>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</si>
  <si>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</si>
  <si>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</si>
  <si>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</si>
  <si>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</si>
  <si>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</si>
  <si>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</si>
  <si>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</si>
  <si>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</si>
  <si>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</si>
  <si>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</si>
  <si>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</si>
  <si>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</si>
  <si>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</si>
  <si>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</si>
  <si>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</si>
  <si>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</si>
  <si>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</si>
  <si>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</si>
  <si>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</si>
  <si>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</si>
  <si>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</si>
  <si>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</si>
  <si>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</si>
  <si>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</si>
  <si>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</si>
  <si>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</si>
  <si>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</si>
  <si>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</si>
  <si>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</si>
  <si>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</si>
  <si>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</si>
  <si>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</si>
  <si>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</si>
  <si>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</si>
  <si>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</si>
  <si>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</si>
  <si>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</si>
  <si>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</si>
  <si>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</si>
  <si>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</si>
  <si>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</si>
  <si>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</si>
  <si>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</si>
  <si>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</si>
  <si>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</si>
  <si>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</si>
  <si>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</si>
  <si>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</si>
  <si>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</si>
  <si>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</si>
  <si>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</si>
  <si>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</si>
  <si>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</si>
  <si>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</si>
  <si>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</si>
  <si>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</si>
  <si>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</si>
  <si>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</si>
  <si>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</si>
  <si>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</si>
  <si>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</si>
  <si>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</si>
  <si>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</si>
  <si>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</si>
  <si>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</si>
  <si>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</si>
  <si>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</si>
  <si>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</si>
  <si>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</si>
  <si>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</si>
  <si>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</si>
  <si>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</si>
  <si>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</si>
  <si>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</si>
  <si>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</si>
  <si>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</si>
  <si>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</si>
  <si>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</si>
  <si>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</si>
  <si>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</si>
  <si>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</si>
  <si>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</si>
  <si>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</si>
  <si>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</si>
  <si>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</si>
  <si>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</si>
  <si>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</si>
  <si>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</si>
  <si>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</si>
  <si>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</si>
  <si>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</si>
  <si>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</si>
  <si>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</si>
  <si>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</si>
  <si>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</si>
  <si>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</si>
  <si>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</si>
  <si>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</si>
  <si>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</si>
  <si>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</si>
  <si>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</si>
  <si>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</si>
  <si>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</si>
  <si>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</si>
  <si>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</si>
  <si>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</si>
  <si>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</si>
  <si>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</si>
  <si>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</si>
  <si>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</si>
  <si>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</si>
  <si>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</si>
  <si>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</si>
  <si>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</si>
  <si>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</si>
  <si>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</si>
  <si>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</si>
  <si>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</si>
  <si>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</si>
  <si>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</si>
  <si>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</si>
  <si>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</si>
  <si>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</si>
  <si>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</si>
  <si>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</si>
  <si>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</si>
  <si>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</si>
  <si>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</si>
  <si>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</si>
  <si>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</si>
  <si>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</si>
  <si>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</si>
  <si>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</si>
  <si>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</si>
  <si>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</si>
  <si>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</si>
  <si>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</si>
  <si>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</si>
  <si>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</si>
  <si>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</si>
  <si>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</si>
  <si>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</si>
  <si>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</si>
  <si>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</si>
  <si>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</si>
  <si>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</si>
  <si>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</si>
  <si>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</si>
  <si>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</si>
  <si>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</si>
  <si>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</si>
  <si>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</si>
  <si>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</si>
  <si>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</si>
  <si>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</si>
  <si>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</si>
  <si>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</si>
  <si>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</si>
  <si>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</si>
  <si>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</si>
  <si>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</si>
  <si>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</si>
  <si>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</si>
  <si>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</si>
  <si>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</si>
  <si>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</si>
  <si>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</si>
  <si>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</si>
  <si>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</si>
  <si>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</si>
  <si>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</si>
  <si>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</si>
  <si>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</si>
  <si>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</si>
  <si>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</si>
  <si>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</si>
  <si>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</si>
  <si>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</si>
  <si>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</si>
  <si>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</si>
  <si>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</si>
  <si>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</si>
  <si>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</si>
  <si>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</si>
  <si>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</si>
  <si>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</si>
  <si>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</si>
  <si>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</si>
  <si>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</si>
  <si>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</si>
  <si>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</si>
  <si>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</si>
  <si>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</si>
  <si>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</si>
  <si>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</si>
  <si>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</si>
  <si>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</si>
  <si>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</si>
  <si>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</si>
  <si>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</si>
  <si>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</si>
  <si>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</si>
  <si>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</si>
  <si>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</si>
  <si>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</si>
  <si>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</si>
  <si>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</si>
  <si>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</si>
  <si>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</si>
  <si>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</si>
  <si>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</si>
  <si>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</si>
  <si>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</si>
  <si>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</si>
  <si>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</si>
  <si>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</si>
  <si>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</si>
  <si>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</si>
  <si>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</si>
  <si>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</si>
  <si>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</si>
  <si>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</si>
  <si>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</si>
  <si>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</si>
  <si>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</si>
  <si>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</si>
  <si>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</si>
  <si>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</si>
  <si>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</si>
  <si>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</si>
  <si>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</si>
  <si>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</si>
  <si>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</si>
  <si>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</si>
  <si>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</si>
  <si>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</si>
  <si>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</si>
  <si>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</si>
  <si>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</si>
  <si>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</si>
  <si>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</si>
  <si>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</si>
  <si>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</si>
  <si>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</si>
  <si>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</si>
  <si>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</si>
  <si>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</si>
  <si>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</si>
  <si>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</si>
  <si>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</si>
  <si>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</si>
  <si>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</si>
  <si>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</si>
  <si>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</si>
  <si>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</si>
  <si>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</si>
  <si>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</si>
  <si>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</si>
  <si>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</si>
  <si>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</si>
  <si>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</si>
  <si>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</si>
  <si>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</si>
  <si>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</si>
  <si>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</si>
  <si>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</si>
  <si>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</si>
  <si>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</si>
  <si>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</si>
  <si>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</si>
  <si>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</si>
  <si>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</si>
  <si>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</si>
  <si>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</si>
  <si>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</si>
  <si>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</si>
  <si>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</si>
  <si>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</si>
  <si>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</si>
  <si>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</si>
  <si>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</si>
  <si>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</si>
  <si>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</si>
  <si>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</si>
  <si>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</si>
  <si>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</si>
  <si>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</si>
  <si>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</si>
  <si>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</si>
  <si>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</si>
  <si>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</si>
  <si>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</si>
  <si>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</si>
  <si>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</si>
  <si>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</si>
  <si>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</si>
  <si>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</si>
  <si>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</si>
  <si>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</si>
  <si>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</si>
  <si>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</si>
  <si>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</si>
  <si>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</si>
  <si>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</si>
  <si>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</si>
  <si>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</si>
  <si>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</si>
  <si>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</si>
  <si>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</si>
  <si>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</si>
  <si>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</si>
  <si>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</si>
  <si>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</si>
  <si>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</si>
  <si>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</si>
  <si>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</si>
  <si>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</si>
  <si>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</si>
  <si>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</si>
  <si>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</si>
  <si>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</si>
  <si>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</si>
  <si>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</si>
  <si>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</si>
  <si>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</si>
  <si>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</si>
  <si>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</si>
  <si>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</si>
  <si>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</si>
  <si>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</si>
  <si>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</si>
  <si>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</si>
  <si>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</si>
  <si>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</si>
  <si>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</si>
  <si>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</si>
  <si>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</si>
  <si>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</si>
  <si>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</si>
  <si>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</si>
  <si>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</si>
  <si>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</si>
  <si>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</si>
  <si>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</si>
  <si>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</si>
  <si>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</si>
  <si>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</si>
  <si>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</si>
  <si>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</si>
  <si>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</si>
  <si>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</si>
  <si>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</si>
  <si>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</si>
  <si>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</si>
  <si>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</si>
  <si>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</si>
  <si>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</si>
  <si>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</si>
  <si>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</si>
  <si>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</si>
  <si>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</si>
  <si>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</si>
  <si>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</si>
  <si>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</si>
  <si>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</si>
  <si>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</si>
  <si>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</si>
  <si>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</si>
  <si>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</si>
  <si>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</si>
  <si>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</si>
  <si>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</si>
  <si>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</si>
  <si>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</si>
  <si>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</si>
  <si>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</si>
  <si>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</si>
  <si>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</si>
  <si>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</si>
  <si>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</si>
  <si>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</si>
  <si>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</si>
  <si>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</si>
  <si>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</si>
  <si>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</si>
  <si>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</si>
  <si>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</si>
  <si>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</si>
  <si>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</si>
  <si>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</si>
  <si>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</si>
  <si>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</si>
  <si>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</si>
  <si>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</si>
  <si>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</si>
  <si>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</si>
  <si>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</si>
  <si>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</si>
  <si>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</si>
  <si>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</si>
  <si>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</si>
  <si>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</si>
  <si>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</si>
  <si>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</si>
  <si>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</si>
  <si>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</si>
  <si>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</si>
  <si>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</si>
  <si>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</si>
  <si>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</si>
  <si>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</si>
  <si>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</si>
  <si>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</si>
  <si>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</si>
  <si>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</si>
  <si>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</si>
  <si>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</si>
  <si>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</si>
  <si>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</si>
  <si>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</si>
  <si>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</si>
  <si>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</si>
  <si>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</si>
  <si>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</si>
  <si>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</si>
  <si>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</si>
  <si>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</si>
  <si>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</si>
  <si>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</si>
  <si>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</si>
  <si>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</si>
  <si>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</si>
  <si>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</si>
  <si>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</si>
  <si>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</si>
  <si>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</si>
  <si>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</si>
  <si>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</si>
  <si>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</si>
  <si>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</si>
  <si>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</si>
  <si>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</si>
  <si>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</si>
  <si>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</si>
  <si>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</si>
  <si>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</si>
  <si>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</si>
  <si>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</si>
  <si>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</si>
  <si>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</si>
  <si>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</si>
  <si>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</si>
  <si>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</si>
  <si>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</si>
  <si>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</si>
  <si>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</si>
  <si>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</si>
  <si>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</si>
  <si>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</si>
  <si>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</si>
  <si>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</si>
  <si>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</si>
  <si>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</si>
  <si>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</si>
  <si>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</si>
  <si>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</si>
  <si>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</si>
  <si>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</si>
  <si>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</si>
  <si>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</si>
  <si>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</si>
  <si>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</si>
  <si>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</si>
  <si>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</si>
  <si>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</si>
  <si>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</si>
  <si>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</si>
  <si>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</si>
  <si>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</si>
  <si>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</si>
  <si>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</si>
  <si>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</si>
  <si>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</si>
  <si>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</si>
  <si>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</si>
  <si>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</si>
  <si>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</si>
  <si>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</si>
  <si>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</si>
  <si>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</si>
  <si>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</si>
  <si>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</si>
  <si>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</si>
  <si>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</si>
  <si>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</si>
  <si>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</si>
  <si>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</si>
  <si>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</si>
  <si>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</si>
  <si>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</si>
  <si>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</si>
  <si>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</si>
  <si>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</si>
  <si>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</si>
  <si>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</si>
  <si>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</si>
  <si>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</si>
  <si>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</si>
  <si>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</si>
  <si>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</si>
  <si>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</si>
  <si>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</si>
  <si>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</si>
  <si>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</si>
  <si>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</si>
  <si>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</si>
  <si>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</si>
  <si>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</si>
  <si>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</si>
  <si>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</si>
  <si>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</si>
  <si>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</si>
  <si>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</si>
  <si>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</si>
  <si>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</si>
  <si>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</si>
  <si>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</si>
  <si>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</si>
  <si>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</si>
  <si>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</si>
  <si>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</si>
  <si>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</si>
  <si>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</si>
  <si>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</si>
  <si>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</si>
  <si>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</si>
  <si>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</si>
  <si>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</si>
  <si>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</si>
  <si>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</si>
  <si>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</si>
  <si>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</si>
  <si>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</si>
  <si>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</si>
  <si>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</si>
  <si>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</si>
  <si>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</si>
  <si>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</si>
  <si>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</si>
  <si>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</si>
  <si>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</si>
  <si>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</si>
  <si>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</si>
  <si>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</si>
  <si>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</si>
  <si>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</si>
  <si>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</si>
  <si>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</si>
  <si>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</si>
  <si>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</si>
  <si>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</si>
  <si>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</si>
  <si>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</si>
  <si>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</si>
  <si>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</si>
  <si>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</si>
  <si>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</si>
  <si>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</si>
  <si>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</si>
  <si>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</si>
  <si>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</si>
  <si>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</si>
  <si>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</si>
  <si>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</si>
  <si>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</si>
  <si>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</si>
  <si>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</si>
  <si>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</si>
  <si>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</si>
  <si>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</si>
  <si>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</si>
  <si>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</si>
  <si>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</si>
  <si>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</si>
  <si>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</si>
  <si>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</si>
  <si>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</si>
  <si>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</si>
  <si>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</si>
  <si>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</si>
  <si>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</si>
  <si>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</si>
  <si>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</si>
  <si>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</si>
  <si>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</si>
  <si>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</si>
  <si>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</si>
  <si>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</si>
  <si>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</si>
  <si>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</si>
  <si>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</si>
  <si>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</si>
  <si>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</si>
  <si>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</si>
  <si>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</si>
  <si>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</si>
  <si>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</si>
  <si>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</si>
  <si>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</si>
  <si>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</si>
  <si>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</si>
  <si>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</si>
  <si>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</si>
  <si>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</si>
  <si>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</si>
  <si>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</si>
  <si>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</si>
  <si>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</si>
  <si>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</si>
  <si>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</si>
  <si>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</si>
  <si>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</si>
  <si>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</si>
  <si>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</si>
  <si>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</si>
  <si>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</si>
  <si>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</si>
  <si>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</si>
  <si>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</si>
  <si>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</si>
  <si>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</si>
  <si>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</si>
  <si>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</si>
  <si>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</si>
  <si>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</si>
  <si>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</si>
  <si>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</si>
  <si>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</si>
  <si>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</si>
  <si>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</si>
  <si>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</si>
  <si>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</si>
  <si>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</si>
  <si>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</si>
  <si>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</si>
  <si>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</si>
  <si>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</si>
  <si>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</si>
  <si>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</si>
  <si>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</si>
  <si>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</si>
  <si>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</si>
  <si>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</si>
  <si>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</si>
  <si>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</si>
  <si>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</si>
  <si>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</si>
  <si>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</si>
  <si>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</si>
  <si>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</si>
  <si>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</si>
  <si>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</si>
  <si>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</si>
  <si>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</si>
  <si>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</si>
  <si>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</si>
  <si>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</si>
  <si>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</si>
  <si>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</si>
  <si>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</si>
  <si>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</si>
  <si>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</si>
  <si>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</si>
  <si>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</si>
  <si>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</si>
  <si>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</si>
  <si>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</si>
  <si>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</si>
  <si>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</si>
  <si>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</si>
  <si>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</si>
  <si>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</si>
  <si>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</si>
  <si>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</si>
  <si>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</si>
  <si>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</si>
  <si>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</si>
  <si>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</si>
  <si>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</si>
  <si>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</si>
  <si>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</si>
  <si>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</si>
  <si>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</si>
  <si>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</si>
  <si>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</si>
  <si>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</si>
  <si>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</si>
  <si>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</si>
  <si>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</si>
  <si>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</si>
  <si>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</si>
  <si>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</si>
  <si>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</si>
  <si>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</si>
  <si>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</si>
  <si>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</si>
  <si>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</si>
  <si>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</si>
  <si>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</si>
  <si>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</si>
  <si>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</si>
  <si>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</si>
  <si>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</si>
  <si>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</si>
  <si>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</si>
  <si>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</si>
  <si>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</si>
  <si>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</si>
  <si>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</si>
  <si>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</si>
  <si>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</si>
  <si>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</si>
  <si>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</si>
  <si>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</si>
  <si>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</si>
  <si>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</si>
  <si>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</si>
  <si>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</si>
  <si>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</si>
  <si>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</si>
  <si>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</si>
  <si>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</si>
  <si>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</si>
  <si>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</si>
  <si>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</si>
  <si>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</si>
  <si>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</si>
  <si>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</si>
  <si>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</si>
  <si>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</si>
  <si>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</si>
  <si>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</si>
  <si>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</si>
  <si>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</si>
  <si>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</si>
  <si>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</si>
  <si>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</si>
  <si>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</si>
  <si>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</si>
  <si>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</si>
  <si>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</si>
  <si>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</si>
  <si>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</si>
  <si>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</si>
  <si>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</si>
  <si>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</si>
  <si>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</si>
  <si>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</si>
  <si>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</si>
  <si>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</si>
  <si>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</si>
  <si>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</si>
  <si>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</si>
  <si>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</si>
  <si>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</si>
  <si>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</si>
  <si>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</si>
  <si>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</si>
  <si>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</si>
  <si>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</si>
  <si>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</si>
  <si>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</si>
  <si>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</si>
  <si>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</si>
  <si>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</si>
  <si>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</si>
  <si>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</si>
  <si>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</si>
  <si>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</si>
  <si>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</si>
  <si>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</si>
  <si>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</si>
  <si>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</si>
  <si>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</si>
  <si>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</si>
  <si>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</si>
  <si>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</si>
  <si>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</si>
  <si>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</si>
  <si>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</si>
  <si>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</si>
  <si>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</si>
  <si>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</si>
  <si>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</si>
  <si>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</si>
  <si>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</si>
  <si>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</si>
  <si>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</si>
  <si>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</si>
  <si>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</si>
  <si>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</si>
  <si>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</si>
  <si>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</si>
  <si>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</si>
  <si>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</si>
  <si>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</si>
  <si>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</si>
  <si>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</si>
  <si>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</si>
  <si>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</si>
  <si>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</si>
  <si>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</si>
  <si>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</si>
  <si>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</si>
  <si>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</si>
  <si>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</si>
  <si>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</si>
  <si>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</si>
  <si>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</si>
  <si>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</si>
  <si>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</si>
  <si>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</si>
  <si>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</si>
  <si>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</si>
  <si>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</si>
  <si>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</si>
  <si>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</si>
  <si>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</si>
  <si>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</si>
  <si>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</si>
  <si>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</si>
  <si>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</si>
  <si>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</si>
  <si>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</si>
  <si>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</si>
  <si>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</si>
  <si>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</si>
  <si>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</si>
  <si>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</si>
  <si>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</si>
  <si>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</si>
  <si>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</si>
  <si>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</si>
  <si>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</si>
  <si>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</si>
  <si>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</si>
  <si>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</si>
  <si>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</si>
  <si>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</si>
  <si>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</si>
  <si>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</si>
  <si>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</si>
  <si>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</si>
  <si>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</si>
  <si>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</si>
  <si>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</si>
  <si>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</si>
  <si>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</si>
  <si>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</si>
  <si>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</si>
  <si>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</si>
  <si>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</si>
  <si>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</si>
  <si>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</si>
  <si>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</si>
  <si>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</si>
  <si>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</si>
  <si>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</si>
  <si>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</si>
  <si>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</si>
  <si>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</si>
  <si>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</si>
  <si>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</si>
  <si>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</si>
  <si>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</si>
  <si>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</si>
  <si>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</si>
  <si>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</si>
  <si>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</si>
  <si>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</si>
  <si>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</si>
  <si>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</si>
  <si>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</si>
  <si>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</si>
  <si>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</si>
  <si>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</si>
  <si>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</si>
  <si>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</si>
  <si>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</si>
  <si>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</si>
  <si>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</si>
  <si>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</si>
  <si>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</si>
  <si>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</si>
  <si>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</si>
  <si>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</si>
  <si>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</si>
  <si>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</si>
  <si>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</si>
  <si>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</si>
  <si>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</si>
  <si>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</si>
  <si>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</si>
  <si>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</si>
  <si>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</si>
  <si>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</si>
  <si>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</si>
  <si>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</si>
  <si>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</si>
  <si>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</si>
  <si>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</si>
  <si>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</si>
  <si>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</si>
  <si>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</si>
  <si>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</si>
  <si>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</si>
  <si>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</si>
  <si>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</si>
  <si>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</si>
  <si>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</si>
  <si>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</si>
  <si>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</si>
  <si>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</si>
  <si>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</si>
  <si>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</si>
  <si>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</si>
  <si>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</si>
  <si>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</si>
  <si>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</si>
  <si>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</si>
  <si>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</si>
  <si>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</si>
  <si>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</si>
  <si>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</si>
  <si>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</si>
  <si>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</si>
  <si>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</si>
  <si>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</si>
  <si>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</si>
  <si>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</si>
  <si>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</si>
  <si>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</si>
  <si>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</si>
  <si>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</si>
  <si>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</si>
  <si>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</si>
  <si>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</si>
  <si>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</si>
  <si>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</si>
  <si>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</si>
  <si>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</si>
  <si>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</si>
  <si>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</si>
  <si>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</si>
  <si>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</si>
  <si>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</si>
  <si>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</si>
  <si>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</si>
  <si>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</si>
  <si>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</si>
  <si>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</si>
  <si>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</si>
  <si>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</si>
  <si>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</si>
  <si>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</si>
  <si>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</si>
  <si>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</si>
  <si>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</si>
  <si>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</si>
  <si>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</si>
  <si>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</si>
  <si>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</si>
  <si>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</si>
  <si>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</si>
  <si>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</si>
  <si>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</si>
  <si>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</si>
  <si>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</si>
  <si>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</si>
  <si>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</si>
  <si>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</si>
  <si>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</si>
  <si>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</si>
  <si>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</si>
  <si>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</si>
  <si>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</si>
  <si>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</si>
  <si>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</si>
  <si>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</si>
  <si>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</si>
  <si>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</si>
  <si>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</si>
  <si>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</si>
  <si>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</si>
  <si>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</si>
  <si>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</si>
  <si>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</si>
  <si>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</si>
  <si>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</si>
  <si>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</si>
  <si>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</si>
  <si>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</si>
  <si>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</si>
  <si>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</si>
  <si>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</si>
  <si>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</si>
  <si>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</si>
  <si>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</si>
  <si>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</si>
  <si>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</si>
  <si>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</si>
  <si>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</si>
  <si>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</si>
  <si>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</si>
  <si>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</si>
  <si>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</si>
  <si>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</si>
  <si>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</si>
  <si>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</si>
  <si>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</si>
  <si>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</si>
  <si>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</si>
  <si>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</si>
  <si>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</si>
  <si>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</si>
  <si>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</si>
  <si>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</si>
  <si>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</si>
  <si>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</si>
  <si>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</si>
  <si>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</si>
  <si>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</si>
  <si>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</si>
  <si>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</si>
  <si>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</si>
  <si>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</si>
  <si>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</si>
  <si>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</si>
  <si>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</si>
  <si>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</si>
  <si>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</si>
  <si>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</si>
  <si>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</si>
  <si>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</si>
  <si>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</si>
  <si>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</si>
  <si>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</si>
  <si>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</si>
  <si>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</si>
  <si>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</si>
  <si>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</si>
  <si>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</si>
  <si>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</si>
  <si>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</si>
  <si>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</si>
  <si>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</si>
  <si>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</si>
  <si>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</si>
  <si>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</si>
  <si>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</si>
  <si>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</si>
  <si>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</si>
  <si>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</si>
  <si>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</si>
  <si>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</si>
  <si>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</si>
  <si>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</si>
  <si>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</si>
  <si>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</si>
  <si>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</si>
  <si>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</si>
  <si>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</si>
  <si>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</si>
  <si>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</si>
  <si>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</si>
  <si>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</si>
  <si>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</si>
  <si>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</si>
  <si>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</si>
  <si>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</si>
  <si>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</si>
  <si>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</si>
  <si>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</si>
  <si>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</si>
  <si>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</si>
  <si>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</si>
  <si>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</si>
  <si>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</si>
  <si>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</si>
  <si>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</si>
  <si>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</si>
  <si>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</si>
  <si>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</si>
  <si>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</si>
  <si>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</si>
  <si>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</si>
  <si>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</si>
  <si>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</si>
  <si>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</si>
  <si>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</si>
  <si>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</si>
  <si>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</si>
  <si>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</si>
  <si>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</si>
  <si>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</si>
  <si>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</si>
  <si>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</si>
  <si>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</si>
  <si>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</si>
  <si>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</si>
  <si>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</si>
  <si>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</si>
  <si>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</si>
  <si>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</si>
  <si>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</si>
  <si>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</si>
  <si>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</si>
  <si>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</si>
  <si>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</si>
  <si>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</si>
  <si>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</si>
  <si>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</si>
  <si>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</si>
  <si>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</si>
  <si>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</si>
  <si>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</si>
  <si>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</si>
  <si>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</si>
  <si>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</si>
  <si>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</si>
  <si>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</si>
  <si>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</si>
  <si>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</si>
  <si>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</si>
  <si>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</si>
  <si>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</si>
  <si>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</si>
  <si>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</si>
  <si>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</si>
  <si>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</si>
  <si>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</si>
  <si>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</si>
  <si>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</si>
  <si>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</si>
  <si>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</si>
  <si>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</si>
  <si>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</si>
  <si>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</si>
  <si>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</si>
  <si>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</si>
  <si>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</si>
  <si>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</si>
  <si>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</si>
  <si>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</si>
  <si>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</si>
  <si>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</si>
  <si>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</si>
  <si>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</si>
  <si>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</si>
  <si>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</si>
  <si>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</si>
  <si>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</si>
  <si>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</si>
  <si>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</si>
  <si>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</si>
  <si>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</si>
  <si>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</si>
  <si>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</si>
  <si>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</si>
  <si>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</si>
  <si>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</si>
  <si>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</si>
  <si>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</si>
  <si>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</si>
  <si>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</si>
  <si>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</si>
  <si>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</si>
  <si>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</si>
  <si>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</si>
  <si>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</si>
  <si>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</si>
  <si>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</si>
  <si>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</si>
  <si>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</si>
  <si>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</si>
  <si>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</si>
  <si>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</si>
  <si>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</si>
  <si>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</si>
  <si>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</si>
  <si>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</si>
  <si>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</si>
  <si>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</si>
  <si>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</si>
  <si>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</si>
  <si>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</si>
  <si>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</si>
  <si>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</si>
  <si>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</si>
  <si>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</si>
  <si>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</si>
  <si>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</si>
  <si>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</si>
  <si>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</si>
  <si>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</si>
  <si>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</si>
  <si>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</si>
  <si>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</si>
  <si>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</si>
  <si>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</si>
  <si>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</si>
  <si>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</si>
  <si>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</si>
  <si>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</si>
  <si>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</si>
  <si>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</si>
  <si>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</si>
  <si>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</si>
  <si>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</si>
  <si>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</si>
  <si>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</si>
  <si>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</si>
  <si>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</si>
  <si>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</si>
  <si>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</si>
  <si>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</si>
  <si>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</si>
  <si>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</si>
  <si>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</si>
  <si>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</si>
  <si>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</si>
  <si>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</si>
  <si>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</si>
  <si>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</si>
  <si>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</si>
  <si>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</si>
  <si>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</si>
  <si>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</si>
  <si>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</si>
  <si>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</si>
  <si>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</si>
  <si>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</si>
  <si>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</si>
  <si>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</si>
  <si>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</si>
  <si>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</si>
  <si>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</si>
  <si>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</si>
  <si>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</si>
  <si>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</si>
  <si>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</si>
  <si>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</si>
  <si>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</si>
  <si>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</si>
  <si>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</si>
  <si>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</si>
  <si>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</si>
  <si>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</si>
  <si>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</si>
  <si>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</si>
  <si>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</si>
  <si>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</si>
  <si>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</si>
  <si>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</si>
  <si>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</si>
  <si>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</si>
  <si>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</si>
  <si>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</si>
  <si>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</si>
  <si>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</si>
  <si>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</si>
  <si>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</si>
  <si>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</si>
  <si>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</si>
  <si>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</si>
  <si>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</si>
  <si>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</si>
  <si>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</si>
  <si>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</si>
  <si>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</si>
  <si>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</si>
  <si>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</si>
  <si>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</si>
  <si>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</si>
  <si>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</si>
  <si>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</si>
  <si>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</si>
  <si>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</si>
  <si>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</si>
  <si>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</si>
  <si>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</si>
  <si>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</si>
  <si>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</si>
  <si>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</si>
  <si>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</si>
  <si>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</si>
  <si>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</si>
  <si>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</si>
  <si>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</si>
  <si>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</si>
  <si>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</si>
  <si>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</si>
  <si>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</si>
  <si>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</si>
  <si>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</si>
  <si>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</si>
  <si>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</si>
  <si>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</si>
  <si>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</si>
  <si>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</si>
  <si>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</si>
  <si>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</si>
  <si>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</si>
  <si>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</si>
  <si>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</si>
  <si>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</si>
  <si>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</si>
  <si>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</si>
  <si>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</si>
  <si>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</si>
  <si>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</si>
  <si>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</si>
  <si>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</si>
  <si>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</si>
  <si>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</si>
  <si>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</si>
  <si>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</si>
  <si>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</si>
  <si>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</si>
  <si>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</si>
  <si>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</si>
  <si>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</si>
  <si>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</si>
  <si>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</si>
  <si>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</si>
  <si>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</si>
  <si>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</si>
  <si>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</si>
  <si>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</si>
  <si>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</si>
  <si>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</si>
  <si>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</si>
  <si>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</si>
  <si>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</si>
  <si>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</si>
  <si>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</si>
  <si>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</si>
  <si>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</si>
  <si>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</si>
  <si>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</si>
  <si>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</si>
  <si>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</si>
  <si>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</si>
  <si>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</si>
  <si>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</si>
  <si>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</si>
  <si>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</si>
  <si>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</si>
  <si>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</si>
  <si>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</si>
  <si>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</si>
  <si>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</si>
  <si>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</si>
  <si>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</si>
  <si>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</si>
  <si>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</si>
  <si>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</si>
  <si>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</si>
  <si>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</si>
  <si>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</si>
  <si>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</si>
  <si>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</si>
  <si>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</si>
  <si>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</si>
  <si>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</si>
  <si>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</si>
  <si>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</si>
  <si>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</si>
  <si>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</si>
  <si>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</si>
  <si>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</si>
  <si>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</si>
  <si>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</si>
  <si>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</si>
  <si>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</si>
  <si>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</si>
  <si>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</si>
  <si>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</si>
  <si>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</si>
  <si>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</si>
  <si>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</si>
  <si>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</si>
  <si>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</si>
  <si>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</si>
  <si>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</si>
  <si>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</si>
  <si>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</si>
  <si>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</si>
  <si>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</si>
  <si>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</si>
  <si>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</si>
  <si>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</si>
  <si>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</si>
  <si>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</si>
  <si>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</si>
  <si>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</si>
  <si>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</si>
  <si>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</si>
  <si>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</si>
  <si>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</si>
  <si>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</si>
  <si>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</si>
  <si>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</si>
  <si>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</si>
  <si>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</si>
  <si>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</si>
  <si>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</si>
  <si>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</si>
  <si>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</si>
  <si>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</si>
  <si>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</si>
  <si>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</si>
  <si>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</si>
  <si>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</si>
  <si>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</si>
  <si>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</si>
  <si>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</si>
  <si>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</si>
  <si>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</si>
  <si>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</si>
  <si>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</si>
  <si>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</si>
  <si>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</si>
  <si>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</si>
  <si>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</si>
  <si>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</si>
  <si>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</si>
  <si>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</si>
  <si>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</si>
  <si>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</si>
  <si>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</si>
  <si>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</si>
  <si>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</si>
  <si>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</si>
  <si>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</si>
  <si>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</si>
  <si>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</si>
  <si>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</si>
  <si>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</si>
  <si>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</si>
  <si>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</si>
  <si>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</si>
  <si>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</si>
  <si>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</si>
  <si>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</si>
  <si>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</si>
  <si>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</si>
  <si>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</si>
  <si>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</si>
  <si>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</si>
  <si>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</si>
  <si>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</si>
  <si>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</si>
  <si>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</si>
  <si>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</si>
  <si>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</si>
  <si>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</si>
  <si>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</si>
  <si>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</si>
  <si>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</si>
  <si>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</si>
  <si>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</si>
  <si>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</si>
  <si>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</si>
  <si>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</si>
  <si>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</si>
  <si>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</si>
  <si>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</si>
  <si>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</si>
  <si>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</si>
  <si>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</si>
  <si>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</si>
  <si>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</si>
  <si>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</si>
  <si>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</si>
  <si>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</si>
  <si>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</si>
  <si>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</si>
  <si>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</si>
  <si>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</si>
  <si>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</si>
  <si>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</si>
  <si>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</si>
  <si>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</si>
  <si>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</si>
  <si>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</si>
  <si>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</si>
  <si>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</si>
  <si>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</si>
  <si>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</si>
  <si>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</si>
  <si>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</si>
  <si>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</si>
  <si>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</si>
  <si>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</si>
  <si>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</si>
  <si>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</si>
  <si>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</si>
  <si>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</si>
  <si>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</si>
  <si>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</si>
  <si>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</si>
  <si>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</si>
  <si>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</si>
  <si>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</si>
  <si>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</si>
  <si>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</si>
  <si>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</si>
  <si>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</si>
  <si>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</si>
  <si>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</si>
  <si>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</si>
  <si>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</si>
  <si>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</si>
  <si>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</si>
  <si>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</si>
  <si>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</si>
  <si>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</si>
  <si>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</si>
  <si>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</si>
  <si>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</si>
  <si>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</si>
  <si>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</si>
  <si>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</si>
  <si>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</si>
  <si>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</si>
  <si>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</si>
  <si>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</si>
  <si>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</si>
  <si>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</si>
  <si>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</si>
  <si>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</si>
  <si>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</si>
  <si>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</si>
  <si>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</si>
  <si>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</si>
  <si>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</si>
  <si>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</si>
  <si>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</si>
  <si>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</si>
  <si>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</si>
  <si>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</si>
  <si>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</si>
  <si>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</si>
  <si>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</si>
  <si>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</si>
  <si>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</si>
  <si>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</si>
  <si>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</si>
  <si>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</si>
  <si>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</si>
  <si>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</si>
  <si>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</si>
  <si>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</si>
  <si>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</si>
  <si>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</si>
  <si>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</si>
  <si>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</si>
  <si>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</si>
  <si>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</si>
  <si>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</si>
  <si>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</si>
  <si>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</si>
  <si>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</si>
  <si>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</si>
  <si>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</si>
  <si>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</si>
  <si>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</si>
  <si>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</si>
  <si>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</si>
  <si>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</si>
  <si>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</si>
  <si>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</si>
  <si>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</si>
  <si>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</si>
  <si>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</si>
  <si>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</si>
  <si>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</si>
  <si>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</si>
  <si>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</si>
  <si>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</si>
  <si>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</si>
  <si>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</si>
  <si>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</si>
  <si>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</si>
  <si>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</si>
  <si>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</si>
  <si>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</si>
  <si>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</si>
  <si>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</si>
  <si>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</si>
  <si>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</si>
  <si>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</si>
  <si>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</si>
  <si>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</si>
  <si>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</si>
  <si>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</si>
  <si>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</si>
  <si>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</si>
  <si>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</si>
  <si>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</si>
  <si>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</si>
  <si>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</si>
  <si>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</si>
  <si>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</si>
  <si>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</si>
  <si>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</si>
  <si>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</si>
  <si>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</si>
  <si>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</si>
  <si>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</si>
  <si>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</si>
  <si>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</si>
  <si>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</si>
  <si>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</si>
  <si>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</si>
  <si>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</si>
  <si>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</si>
  <si>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</si>
  <si>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</si>
  <si>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</si>
  <si>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</si>
  <si>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</si>
  <si>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</si>
  <si>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</si>
  <si>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</si>
  <si>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</si>
  <si>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</si>
  <si>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</si>
  <si>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</si>
  <si>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</si>
  <si>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</si>
  <si>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</si>
  <si>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</si>
  <si>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</si>
  <si>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</si>
  <si>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</si>
  <si>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</si>
  <si>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</si>
  <si>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</si>
  <si>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</si>
  <si>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</si>
  <si>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</si>
  <si>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</si>
  <si>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</si>
  <si>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</si>
  <si>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</si>
  <si>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</si>
  <si>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</si>
  <si>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</si>
  <si>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</si>
  <si>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</si>
  <si>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</si>
  <si>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</si>
  <si>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</si>
  <si>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</si>
  <si>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</si>
  <si>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</si>
  <si>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</si>
  <si>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</si>
  <si>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</si>
  <si>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</si>
  <si>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</si>
  <si>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</si>
  <si>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</si>
  <si>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</si>
  <si>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</si>
  <si>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</si>
  <si>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</si>
  <si>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</si>
  <si>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</si>
  <si>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</si>
  <si>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</si>
  <si>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</si>
  <si>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</si>
  <si>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</si>
  <si>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</si>
  <si>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</si>
  <si>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</si>
  <si>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</si>
  <si>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</si>
  <si>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</si>
  <si>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</si>
  <si>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</si>
  <si>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</si>
  <si>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</si>
  <si>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</si>
  <si>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</si>
  <si>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</si>
  <si>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</si>
  <si>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</si>
  <si>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</si>
  <si>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</si>
  <si>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</si>
  <si>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</si>
  <si>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</si>
  <si>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</si>
  <si>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</si>
  <si>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</si>
  <si>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</si>
  <si>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</si>
  <si>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</si>
  <si>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</si>
  <si>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</si>
  <si>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</si>
  <si>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</si>
  <si>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</si>
  <si>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</si>
  <si>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</si>
  <si>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</si>
  <si>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</si>
  <si>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</si>
  <si>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</si>
  <si>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</si>
  <si>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</si>
  <si>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</si>
  <si>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</si>
  <si>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</si>
  <si>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</si>
  <si>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</si>
  <si>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</si>
  <si>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</si>
  <si>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</si>
  <si>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</si>
  <si>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</si>
  <si>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</si>
  <si>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</si>
  <si>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</si>
  <si>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</si>
  <si>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</si>
  <si>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</si>
  <si>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</si>
  <si>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</si>
  <si>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</si>
  <si>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</si>
  <si>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</si>
  <si>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</si>
  <si>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</si>
  <si>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</si>
  <si>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</si>
  <si>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</si>
  <si>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</si>
  <si>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</si>
  <si>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</si>
  <si>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</si>
  <si>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</si>
  <si>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</si>
  <si>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</si>
  <si>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</si>
  <si>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</si>
  <si>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</si>
  <si>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</si>
  <si>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</si>
  <si>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</si>
  <si>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</si>
  <si>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</si>
  <si>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</si>
  <si>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</si>
  <si>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</si>
  <si>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</si>
  <si>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</si>
  <si>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</si>
  <si>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</si>
  <si>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</si>
  <si>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</si>
  <si>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</si>
  <si>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</si>
  <si>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</si>
  <si>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</si>
  <si>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</si>
  <si>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</si>
  <si>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</si>
  <si>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</si>
  <si>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</si>
  <si>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</si>
  <si>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</si>
  <si>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</si>
  <si>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</si>
  <si>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</si>
  <si>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</si>
  <si>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</si>
  <si>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</si>
  <si>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</si>
  <si>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</si>
  <si>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</si>
  <si>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</si>
  <si>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</si>
  <si>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</si>
  <si>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</si>
  <si>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</si>
  <si>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</si>
  <si>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</si>
  <si>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</si>
  <si>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</si>
  <si>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</si>
  <si>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</si>
  <si>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</si>
  <si>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</si>
  <si>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</si>
  <si>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</si>
  <si>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</si>
  <si>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</si>
  <si>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</si>
  <si>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</si>
  <si>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</si>
  <si>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</si>
  <si>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</si>
  <si>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</si>
  <si>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</si>
  <si>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</si>
  <si>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</si>
  <si>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</si>
  <si>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</si>
  <si>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</si>
  <si>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</si>
  <si>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</si>
  <si>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</si>
  <si>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</si>
  <si>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</si>
  <si>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</si>
  <si>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</si>
  <si>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</si>
  <si>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</si>
  <si>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</si>
  <si>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</si>
  <si>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</si>
  <si>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</si>
  <si>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</si>
  <si>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</si>
  <si>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</si>
  <si>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</si>
  <si>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</si>
  <si>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</si>
  <si>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</si>
  <si>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</si>
  <si>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</si>
  <si>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</si>
  <si>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</si>
  <si>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</si>
  <si>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</si>
  <si>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</si>
  <si>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</si>
  <si>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</si>
  <si>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</si>
  <si>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</si>
  <si>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</si>
  <si>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</si>
  <si>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</si>
  <si>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</si>
  <si>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</si>
  <si>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</si>
  <si>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</si>
  <si>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</si>
  <si>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</si>
  <si>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</si>
  <si>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</si>
  <si>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</si>
  <si>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</si>
  <si>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</si>
  <si>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</si>
  <si>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</si>
  <si>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</si>
  <si>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</si>
  <si>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</si>
  <si>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</si>
  <si>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</si>
  <si>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</si>
  <si>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</si>
  <si>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</si>
  <si>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</si>
  <si>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</si>
  <si>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</si>
  <si>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</si>
  <si>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</si>
  <si>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</si>
  <si>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</si>
  <si>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</si>
  <si>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</si>
  <si>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</si>
  <si>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</si>
  <si>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</si>
  <si>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</si>
  <si>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</si>
  <si>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</si>
  <si>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</si>
  <si>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</si>
  <si>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</si>
  <si>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</si>
  <si>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</si>
  <si>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</si>
  <si>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</si>
  <si>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</si>
  <si>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</si>
  <si>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</si>
  <si>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</si>
  <si>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</si>
  <si>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</si>
  <si>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</si>
  <si>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</si>
  <si>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</si>
  <si>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</si>
  <si>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</si>
  <si>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</si>
  <si>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</si>
  <si>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</si>
  <si>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</si>
  <si>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</si>
  <si>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</si>
  <si>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</si>
  <si>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</si>
  <si>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</si>
  <si>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</si>
  <si>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</si>
  <si>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</si>
  <si>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</si>
  <si>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</si>
  <si>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</si>
  <si>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</si>
  <si>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</si>
  <si>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</si>
  <si>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</si>
  <si>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</si>
  <si>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</si>
  <si>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</si>
  <si>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</si>
  <si>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</si>
  <si>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</si>
  <si>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</si>
  <si>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</si>
  <si>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</si>
  <si>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</si>
  <si>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</si>
  <si>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</si>
  <si>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</si>
  <si>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</si>
  <si>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</si>
  <si>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</si>
  <si>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</si>
  <si>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</si>
  <si>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</si>
  <si>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</si>
  <si>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</si>
  <si>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</si>
  <si>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</si>
  <si>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</si>
  <si>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</si>
  <si>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</si>
  <si>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</si>
  <si>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</si>
  <si>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</si>
  <si>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</si>
  <si>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</si>
  <si>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</si>
  <si>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</si>
  <si>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</si>
  <si>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</si>
  <si>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</si>
  <si>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</si>
  <si>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</si>
  <si>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</si>
  <si>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</si>
  <si>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</si>
  <si>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</si>
  <si>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</si>
  <si>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</si>
  <si>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</si>
  <si>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</si>
  <si>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</si>
  <si>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</si>
  <si>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</si>
  <si>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</si>
  <si>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</si>
  <si>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</si>
  <si>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</si>
  <si>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</si>
  <si>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</si>
  <si>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</si>
  <si>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</si>
  <si>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</si>
  <si>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</si>
  <si>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</si>
  <si>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</si>
  <si>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</si>
  <si>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</si>
  <si>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</si>
  <si>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</si>
  <si>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</si>
  <si>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</si>
  <si>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</si>
  <si>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</si>
  <si>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</si>
  <si>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</si>
  <si>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</si>
  <si>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</si>
  <si>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</si>
  <si>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</si>
  <si>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</si>
  <si>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</si>
  <si>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</si>
  <si>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</si>
  <si>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</si>
  <si>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</si>
  <si>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</si>
  <si>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</si>
  <si>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</si>
  <si>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</si>
  <si>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</si>
  <si>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</si>
  <si>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</si>
  <si>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</si>
  <si>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</si>
  <si>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</si>
  <si>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</si>
  <si>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</si>
  <si>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</si>
  <si>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</si>
  <si>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</si>
  <si>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</si>
  <si>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</si>
  <si>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</si>
  <si>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</si>
  <si>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</si>
  <si>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</si>
  <si>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</si>
  <si>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</si>
  <si>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</si>
  <si>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</si>
  <si>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</si>
  <si>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</si>
  <si>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</si>
  <si>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</si>
  <si>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</si>
  <si>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</si>
  <si>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</si>
  <si>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</si>
  <si>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</si>
  <si>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</si>
  <si>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</si>
  <si>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</si>
  <si>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</si>
  <si>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</si>
  <si>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</si>
  <si>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</si>
  <si>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</si>
  <si>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</si>
  <si>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</si>
  <si>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</si>
  <si>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</si>
  <si>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</si>
  <si>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</si>
  <si>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</si>
  <si>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</si>
  <si>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</si>
  <si>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</si>
  <si>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</si>
  <si>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</si>
  <si>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</si>
  <si>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</si>
  <si>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</si>
  <si>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</si>
  <si>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</si>
  <si>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</si>
  <si>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</si>
  <si>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</si>
  <si>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</si>
  <si>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</si>
  <si>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</si>
  <si>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</si>
  <si>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</si>
  <si>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</si>
  <si>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</si>
  <si>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</si>
  <si>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</si>
  <si>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</si>
  <si>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</si>
  <si>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</si>
  <si>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</si>
  <si>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</si>
  <si>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</si>
  <si>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</si>
  <si>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</si>
  <si>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</si>
  <si>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</si>
  <si>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</si>
  <si>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</si>
  <si>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</si>
  <si>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</si>
  <si>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</si>
  <si>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</si>
  <si>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</si>
  <si>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</si>
  <si>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</si>
  <si>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</si>
  <si>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</si>
  <si>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</si>
  <si>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</si>
  <si>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</si>
  <si>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</si>
  <si>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</si>
  <si>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</si>
  <si>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</si>
  <si>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</si>
  <si>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</si>
  <si>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</si>
  <si>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</si>
  <si>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</si>
  <si>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</si>
  <si>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</si>
  <si>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</si>
  <si>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</si>
  <si>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</si>
  <si>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</si>
  <si>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</si>
  <si>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</si>
  <si>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</si>
  <si>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</si>
  <si>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</si>
  <si>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</si>
  <si>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</si>
  <si>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</si>
  <si>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</si>
  <si>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</si>
  <si>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</si>
  <si>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</si>
  <si>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</si>
  <si>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</si>
  <si>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</si>
  <si>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</si>
  <si>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</si>
  <si>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</si>
  <si>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</si>
  <si>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</si>
  <si>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</si>
  <si>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</si>
  <si>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</si>
  <si>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</si>
  <si>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</si>
  <si>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</si>
  <si>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</si>
  <si>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</si>
  <si>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</si>
  <si>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</si>
  <si>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</si>
  <si>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</si>
  <si>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</si>
  <si>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</si>
  <si>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</si>
  <si>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</si>
  <si>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</si>
  <si>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</si>
  <si>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</si>
  <si>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</si>
  <si>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</si>
  <si>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</si>
  <si>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</si>
  <si>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</si>
  <si>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</si>
  <si>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</si>
  <si>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</si>
  <si>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</si>
  <si>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</si>
  <si>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</si>
  <si>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</si>
  <si>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</si>
  <si>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</si>
  <si>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</si>
  <si>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</si>
  <si>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</si>
  <si>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</si>
  <si>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</si>
  <si>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</si>
  <si>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</si>
  <si>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</si>
  <si>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</si>
  <si>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</si>
  <si>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</si>
  <si>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</si>
  <si>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</si>
  <si>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</si>
  <si>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</si>
  <si>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</si>
  <si>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</si>
  <si>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</si>
  <si>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</si>
  <si>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</si>
  <si>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</si>
  <si>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</si>
  <si>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</si>
  <si>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</si>
  <si>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</si>
  <si>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</si>
  <si>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</si>
  <si>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</si>
  <si>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</si>
  <si>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</si>
  <si>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</si>
  <si>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</si>
  <si>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</si>
  <si>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</si>
  <si>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</si>
  <si>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</si>
  <si>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</si>
  <si>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</si>
  <si>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</si>
  <si>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</si>
  <si>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</si>
  <si>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</si>
  <si>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</si>
  <si>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</si>
  <si>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</si>
  <si>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</si>
  <si>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</si>
  <si>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</si>
  <si>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</si>
  <si>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</si>
  <si>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</si>
  <si>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</si>
  <si>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</si>
  <si>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</si>
  <si>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</si>
  <si>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</si>
  <si>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</si>
  <si>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</si>
  <si>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</si>
  <si>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</si>
  <si>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</si>
  <si>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</si>
  <si>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</si>
  <si>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</si>
  <si>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</si>
  <si>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</si>
  <si>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</si>
  <si>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</si>
  <si>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</si>
  <si>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</si>
  <si>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</si>
  <si>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</si>
  <si>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</si>
  <si>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</si>
  <si>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</si>
  <si>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</si>
  <si>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</si>
  <si>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</si>
  <si>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</si>
  <si>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</si>
  <si>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</si>
  <si>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</si>
  <si>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</si>
  <si>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</si>
  <si>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</si>
  <si>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</si>
  <si>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</si>
  <si>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</si>
  <si>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</si>
  <si>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</si>
  <si>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</si>
  <si>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</si>
  <si>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</si>
  <si>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</si>
  <si>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</si>
  <si>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</si>
  <si>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</si>
  <si>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</si>
  <si>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</si>
  <si>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</si>
  <si>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</si>
  <si>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</si>
  <si>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</si>
  <si>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</si>
  <si>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</si>
  <si>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</si>
  <si>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</si>
  <si>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</si>
  <si>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</si>
  <si>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</si>
  <si>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</si>
  <si>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</si>
  <si>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</si>
  <si>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</si>
  <si>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</si>
  <si>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</si>
  <si>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</si>
  <si>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</si>
  <si>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</si>
  <si>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</si>
  <si>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</si>
  <si>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</si>
  <si>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</si>
  <si>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</si>
  <si>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</si>
  <si>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</si>
  <si>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</si>
  <si>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</si>
  <si>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</si>
  <si>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</si>
  <si>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</si>
  <si>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</si>
  <si>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</si>
  <si>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</si>
  <si>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</si>
  <si>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</si>
  <si>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</si>
  <si>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</si>
  <si>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</si>
  <si>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</si>
  <si>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</si>
  <si>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</si>
  <si>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</si>
  <si>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</si>
  <si>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</si>
  <si>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</si>
  <si>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</si>
  <si>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</si>
  <si>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</si>
  <si>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</si>
  <si>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</si>
  <si>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</si>
  <si>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</si>
  <si>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</si>
  <si>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</si>
  <si>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</si>
  <si>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</si>
  <si>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</si>
  <si>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</si>
  <si>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</si>
  <si>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</si>
  <si>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</si>
  <si>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</si>
  <si>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</si>
  <si>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</si>
  <si>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</si>
  <si>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</si>
  <si>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</si>
  <si>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</si>
  <si>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</si>
  <si>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</si>
  <si>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</si>
  <si>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</si>
  <si>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</si>
  <si>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</si>
  <si>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</si>
  <si>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</si>
  <si>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</si>
  <si>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</si>
  <si>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</si>
  <si>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</si>
  <si>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</si>
  <si>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</si>
  <si>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</si>
  <si>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</si>
  <si>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</si>
  <si>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</si>
  <si>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</si>
  <si>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</si>
  <si>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</si>
  <si>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</si>
  <si>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</si>
  <si>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</si>
  <si>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</si>
  <si>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</si>
  <si>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</si>
  <si>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</si>
  <si>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</si>
  <si>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</si>
  <si>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</si>
  <si>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</si>
  <si>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</si>
  <si>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</si>
  <si>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</si>
  <si>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</si>
  <si>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</si>
  <si>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</si>
  <si>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</si>
  <si>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</si>
  <si>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</si>
  <si>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</si>
  <si>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</si>
  <si>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</si>
  <si>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</si>
  <si>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</si>
  <si>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</si>
  <si>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</si>
  <si>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</si>
  <si>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</si>
  <si>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</si>
  <si>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</si>
  <si>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</si>
  <si>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</si>
  <si>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</si>
  <si>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</si>
  <si>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</si>
  <si>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</si>
  <si>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</si>
  <si>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</si>
  <si>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</si>
  <si>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</si>
  <si>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</si>
  <si>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</si>
  <si>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</si>
  <si>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</si>
  <si>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</si>
  <si>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</si>
  <si>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</si>
  <si>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</si>
  <si>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</si>
  <si>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</si>
  <si>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</si>
  <si>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</si>
  <si>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</si>
  <si>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</si>
  <si>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</si>
  <si>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</si>
  <si>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</si>
  <si>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</si>
  <si>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</si>
  <si>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</si>
  <si>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</si>
  <si>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</si>
  <si>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</si>
  <si>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</si>
  <si>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</si>
  <si>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</si>
  <si>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</si>
  <si>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</si>
  <si>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</si>
  <si>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</si>
  <si>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</si>
  <si>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</si>
  <si>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</si>
  <si>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</si>
  <si>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</si>
  <si>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</si>
  <si>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</si>
  <si>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</si>
  <si>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</si>
  <si>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</si>
  <si>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</si>
  <si>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</si>
  <si>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</si>
  <si>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</si>
  <si>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</si>
  <si>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</si>
  <si>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</si>
  <si>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</si>
  <si>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</si>
  <si>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</si>
  <si>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</si>
  <si>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</si>
  <si>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</si>
  <si>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</si>
  <si>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</si>
  <si>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</si>
  <si>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</si>
  <si>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</si>
  <si>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</si>
  <si>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</si>
  <si>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</si>
  <si>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</si>
  <si>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</si>
  <si>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</si>
  <si>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</si>
  <si>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</si>
  <si>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</si>
  <si>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</si>
  <si>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</si>
  <si>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</si>
  <si>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</si>
  <si>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</si>
  <si>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</si>
  <si>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</si>
  <si>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</si>
  <si>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</si>
  <si>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</si>
  <si>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</si>
  <si>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</si>
  <si>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</si>
  <si>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</si>
  <si>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</si>
  <si>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</si>
  <si>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</si>
  <si>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</si>
  <si>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</si>
  <si>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</si>
  <si>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</si>
  <si>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</si>
  <si>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</si>
  <si>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</si>
  <si>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</si>
  <si>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</si>
  <si>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</si>
  <si>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</si>
  <si>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</si>
  <si>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</si>
  <si>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</si>
  <si>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</si>
  <si>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</si>
  <si>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</si>
  <si>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</si>
  <si>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</si>
  <si>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</si>
  <si>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</si>
  <si>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</si>
  <si>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</si>
  <si>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</si>
  <si>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</si>
  <si>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</si>
  <si>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</si>
  <si>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</si>
  <si>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</si>
  <si>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</si>
  <si>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</si>
  <si>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</si>
  <si>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</si>
  <si>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</si>
  <si>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</si>
  <si>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</si>
  <si>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</si>
  <si>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</si>
  <si>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</si>
  <si>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</si>
  <si>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</si>
  <si>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</si>
  <si>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</si>
  <si>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</si>
  <si>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</si>
  <si>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</si>
  <si>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</si>
  <si>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</si>
  <si>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</si>
  <si>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</si>
  <si>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</si>
  <si>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</si>
  <si>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</si>
  <si>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</si>
  <si>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</si>
  <si>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</si>
  <si>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</si>
  <si>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</si>
  <si>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</si>
  <si>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</si>
  <si>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</si>
  <si>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</si>
  <si>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</si>
  <si>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</si>
  <si>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</si>
  <si>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</si>
  <si>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</si>
  <si>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</si>
  <si>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</si>
  <si>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</si>
  <si>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</si>
  <si>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</si>
  <si>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</si>
  <si>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</si>
  <si>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</si>
  <si>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</si>
  <si>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</si>
  <si>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</si>
  <si>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</si>
  <si>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</si>
  <si>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</si>
  <si>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</si>
  <si>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</si>
  <si>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</si>
  <si>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</si>
  <si>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</si>
  <si>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</si>
  <si>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</si>
  <si>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</si>
  <si>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</si>
  <si>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</si>
  <si>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</si>
  <si>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</si>
  <si>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</si>
  <si>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</si>
  <si>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</si>
  <si>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</si>
  <si>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</si>
  <si>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</si>
  <si>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</si>
  <si>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</si>
  <si>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</si>
  <si>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</si>
  <si>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</si>
  <si>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</si>
  <si>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</si>
  <si>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</si>
  <si>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</si>
  <si>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</si>
  <si>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</si>
  <si>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</si>
  <si>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</si>
  <si>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</si>
  <si>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</si>
  <si>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</si>
  <si>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</si>
  <si>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</si>
  <si>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</si>
  <si>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</si>
  <si>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</si>
  <si>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</si>
  <si>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</si>
  <si>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</si>
  <si>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</si>
  <si>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</si>
  <si>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</si>
  <si>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</si>
  <si>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</si>
  <si>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</si>
  <si>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</si>
  <si>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</si>
  <si>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</si>
  <si>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</si>
  <si>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</si>
  <si>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</si>
  <si>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</si>
  <si>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</si>
  <si>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</si>
  <si>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</si>
  <si>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</si>
  <si>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</si>
  <si>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</si>
  <si>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</si>
  <si>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</si>
  <si>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</si>
  <si>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</si>
  <si>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</si>
  <si>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</si>
  <si>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</si>
  <si>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</si>
  <si>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</si>
  <si>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</si>
  <si>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</si>
  <si>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</si>
  <si>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</si>
  <si>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</si>
  <si>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</si>
  <si>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</si>
  <si>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</si>
  <si>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</si>
  <si>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</si>
  <si>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</si>
  <si>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</si>
  <si>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</si>
  <si>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</si>
  <si>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</si>
  <si>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</si>
  <si>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</si>
  <si>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</si>
  <si>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</si>
  <si>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</si>
  <si>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</si>
  <si>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</si>
  <si>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</si>
  <si>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</si>
  <si>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</si>
  <si>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</si>
  <si>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</si>
  <si>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</si>
  <si>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</si>
  <si>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</si>
  <si>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</si>
  <si>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</si>
  <si>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</si>
  <si>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</si>
  <si>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</si>
  <si>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</si>
  <si>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</si>
  <si>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</si>
  <si>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</si>
  <si>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</si>
  <si>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</si>
  <si>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</si>
  <si>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</si>
  <si>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</si>
  <si>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</si>
  <si>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</si>
  <si>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</si>
  <si>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</si>
  <si>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</si>
  <si>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</si>
  <si>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</si>
  <si>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</si>
  <si>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</si>
  <si>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</si>
  <si>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</si>
  <si>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</si>
  <si>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</si>
  <si>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</si>
  <si>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</si>
  <si>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</si>
  <si>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</si>
  <si>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</si>
  <si>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</si>
  <si>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</si>
  <si>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</si>
  <si>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</si>
  <si>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</si>
  <si>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</si>
  <si>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</si>
  <si>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</si>
  <si>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</si>
  <si>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</si>
  <si>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</si>
  <si>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</si>
  <si>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</si>
  <si>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</si>
  <si>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</si>
  <si>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</si>
  <si>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</si>
  <si>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</si>
  <si>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</si>
  <si>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</si>
  <si>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</si>
  <si>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</si>
  <si>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</si>
  <si>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</si>
  <si>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</si>
  <si>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</si>
  <si>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</si>
  <si>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</si>
  <si>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</si>
  <si>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</si>
  <si>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</si>
  <si>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</si>
  <si>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</si>
  <si>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</si>
  <si>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</si>
  <si>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</si>
  <si>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</si>
  <si>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</si>
  <si>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</si>
  <si>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</si>
  <si>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</si>
  <si>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</si>
  <si>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</si>
  <si>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</si>
  <si>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</si>
  <si>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</si>
  <si>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</si>
  <si>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</si>
  <si>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</si>
  <si>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</si>
  <si>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</si>
  <si>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</si>
  <si>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</si>
  <si>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</si>
  <si>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</si>
  <si>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</si>
  <si>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</si>
  <si>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</si>
  <si>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</si>
  <si>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</si>
  <si>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</si>
  <si>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</si>
  <si>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</si>
  <si>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</si>
  <si>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</si>
  <si>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</si>
  <si>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</si>
  <si>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</si>
  <si>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</si>
  <si>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</si>
  <si>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</si>
  <si>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</si>
  <si>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</si>
  <si>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</si>
  <si>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</si>
  <si>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</si>
  <si>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</si>
  <si>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</si>
  <si>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</si>
  <si>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</si>
  <si>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</si>
  <si>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</si>
  <si>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</si>
  <si>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</si>
  <si>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</si>
  <si>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</si>
  <si>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</si>
  <si>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</si>
  <si>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</si>
  <si>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</si>
  <si>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</si>
  <si>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</si>
  <si>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</si>
  <si>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</si>
  <si>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</si>
  <si>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</si>
  <si>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</si>
  <si>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</si>
  <si>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</si>
  <si>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</si>
  <si>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</si>
  <si>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</si>
  <si>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</si>
  <si>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</si>
  <si>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</si>
  <si>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</si>
  <si>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</si>
  <si>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</si>
  <si>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</si>
  <si>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</si>
  <si>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</si>
  <si>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</si>
  <si>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</si>
  <si>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</si>
  <si>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</si>
  <si>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</si>
  <si>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</si>
  <si>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</si>
  <si>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</si>
  <si>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</si>
  <si>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</si>
  <si>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</si>
  <si>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</si>
  <si>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</si>
  <si>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</si>
  <si>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</si>
  <si>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</si>
  <si>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</si>
  <si>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</si>
  <si>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</si>
  <si>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</si>
  <si>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</si>
  <si>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</si>
  <si>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</si>
  <si>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</si>
  <si>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</si>
  <si>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</si>
  <si>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</si>
  <si>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</si>
  <si>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</si>
  <si>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</si>
  <si>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</si>
  <si>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</si>
  <si>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</si>
  <si>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</si>
  <si>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</si>
  <si>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</si>
  <si>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</si>
  <si>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</si>
  <si>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</si>
  <si>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</si>
  <si>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</si>
  <si>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</si>
  <si>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</si>
  <si>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</si>
  <si>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</si>
  <si>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</si>
  <si>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</si>
  <si>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</si>
  <si>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</si>
  <si>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</si>
  <si>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</si>
  <si>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</si>
  <si>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</si>
  <si>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</si>
  <si>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</si>
  <si>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</si>
  <si>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</si>
  <si>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</si>
  <si>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</si>
  <si>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</si>
  <si>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</si>
  <si>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</si>
  <si>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</si>
  <si>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</si>
  <si>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</si>
  <si>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</si>
  <si>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</si>
  <si>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</si>
  <si>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</si>
  <si>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</si>
  <si>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</si>
  <si>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</si>
  <si>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</si>
  <si>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</si>
  <si>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</si>
  <si>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</si>
  <si>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</si>
  <si>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</si>
  <si>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</si>
  <si>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</si>
  <si>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</si>
  <si>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</si>
  <si>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</si>
  <si>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</si>
  <si>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</si>
  <si>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</si>
  <si>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</si>
  <si>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</si>
  <si>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</si>
  <si>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</si>
  <si>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</si>
  <si>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</si>
  <si>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</si>
  <si>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</si>
  <si>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</si>
  <si>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</si>
  <si>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</si>
  <si>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</si>
  <si>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</si>
  <si>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</si>
  <si>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</si>
  <si>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</si>
  <si>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</si>
  <si>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</si>
  <si>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</si>
  <si>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</si>
  <si>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</si>
  <si>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</si>
  <si>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</si>
  <si>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</si>
  <si>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</si>
  <si>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</si>
  <si>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</si>
  <si>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</si>
  <si>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</si>
  <si>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</si>
  <si>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</si>
  <si>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</si>
  <si>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</si>
  <si>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</si>
  <si>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</si>
  <si>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</si>
  <si>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</si>
  <si>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</si>
  <si>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</si>
  <si>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</si>
  <si>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</si>
  <si>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</si>
  <si>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</si>
  <si>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</si>
  <si>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</si>
  <si>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</si>
  <si>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</si>
  <si>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</si>
  <si>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</si>
  <si>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</si>
  <si>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</si>
  <si>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</si>
  <si>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</si>
  <si>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</si>
  <si>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</si>
  <si>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</si>
  <si>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</si>
  <si>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</si>
  <si>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</si>
  <si>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</si>
  <si>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</si>
  <si>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</si>
  <si>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</si>
  <si>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</si>
  <si>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</si>
  <si>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</si>
  <si>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</si>
  <si>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</si>
  <si>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</si>
  <si>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</si>
  <si>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</si>
  <si>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</si>
  <si>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</si>
  <si>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</si>
  <si>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</si>
  <si>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</si>
  <si>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</si>
  <si>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</si>
  <si>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</si>
  <si>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</si>
  <si>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</si>
  <si>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</si>
  <si>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</si>
  <si>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</si>
  <si>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</si>
  <si>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</si>
  <si>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</si>
  <si>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</si>
  <si>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</si>
  <si>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</si>
  <si>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</si>
  <si>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</si>
  <si>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</si>
  <si>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</si>
  <si>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</si>
  <si>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</si>
  <si>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</si>
  <si>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</si>
  <si>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</si>
  <si>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</si>
  <si>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</si>
  <si>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</si>
  <si>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</si>
  <si>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</si>
  <si>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</si>
  <si>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</si>
  <si>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</si>
  <si>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</si>
  <si>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</si>
  <si>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</si>
  <si>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</si>
  <si>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</si>
  <si>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</si>
  <si>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</si>
  <si>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</si>
  <si>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</si>
  <si>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</si>
  <si>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</si>
  <si>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</si>
  <si>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</si>
  <si>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</si>
  <si>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</si>
  <si>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</si>
  <si>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</si>
  <si>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</si>
  <si>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</si>
  <si>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</si>
  <si>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</si>
  <si>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</si>
  <si>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</si>
  <si>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</si>
  <si>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</si>
  <si>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</si>
  <si>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</si>
  <si>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</si>
  <si>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</si>
  <si>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</si>
  <si>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</si>
  <si>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</si>
  <si>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</si>
  <si>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</si>
  <si>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</si>
  <si>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</si>
  <si>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</si>
  <si>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</si>
  <si>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</si>
  <si>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</si>
  <si>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</si>
  <si>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</si>
  <si>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</si>
  <si>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</si>
  <si>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</si>
  <si>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</si>
  <si>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</si>
  <si>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</si>
  <si>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</si>
  <si>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</si>
  <si>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</si>
  <si>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</si>
  <si>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</si>
  <si>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</si>
  <si>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</si>
  <si>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</si>
  <si>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</si>
  <si>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</si>
  <si>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</si>
  <si>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</si>
  <si>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</si>
  <si>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</si>
  <si>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</si>
  <si>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</si>
  <si>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</si>
  <si>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</si>
  <si>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</si>
  <si>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</si>
  <si>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</si>
  <si>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</si>
  <si>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</si>
  <si>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</si>
  <si>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</si>
  <si>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</si>
  <si>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</si>
  <si>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</si>
  <si>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</si>
  <si>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</si>
  <si>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</si>
  <si>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</si>
  <si>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</si>
  <si>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</si>
  <si>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</si>
  <si>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</si>
  <si>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</si>
  <si>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</si>
  <si>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</si>
  <si>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</si>
  <si>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</si>
  <si>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</si>
  <si>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</si>
  <si>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</si>
  <si>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</si>
  <si>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</si>
  <si>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</si>
  <si>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</si>
  <si>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</si>
  <si>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</si>
  <si>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</si>
  <si>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</si>
  <si>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</si>
  <si>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</si>
  <si>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</si>
  <si>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</si>
  <si>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</si>
  <si>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</si>
  <si>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</si>
  <si>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</si>
  <si>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</si>
  <si>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</si>
  <si>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</si>
  <si>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</si>
  <si>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</si>
  <si>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</si>
  <si>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</si>
  <si>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</si>
  <si>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</si>
  <si>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</si>
  <si>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</si>
  <si>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</si>
  <si>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</si>
  <si>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</si>
  <si>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</si>
  <si>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</si>
  <si>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</si>
  <si>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</si>
  <si>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</si>
  <si>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</si>
  <si>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</si>
  <si>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</si>
  <si>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</si>
  <si>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</si>
  <si>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</si>
  <si>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</si>
  <si>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</si>
  <si>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</si>
  <si>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</si>
  <si>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</si>
  <si>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</si>
  <si>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</si>
  <si>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</si>
  <si>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</si>
  <si>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</si>
  <si>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</si>
  <si>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</si>
  <si>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</si>
  <si>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</si>
  <si>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</si>
  <si>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</si>
  <si>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</si>
  <si>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</si>
  <si>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</si>
  <si>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</si>
  <si>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</si>
  <si>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</si>
  <si>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</si>
  <si>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</si>
  <si>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</si>
  <si>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</si>
  <si>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</si>
  <si>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</si>
  <si>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</si>
  <si>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</si>
  <si>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</si>
  <si>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</si>
  <si>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</si>
  <si>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</si>
  <si>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</si>
  <si>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</si>
  <si>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</si>
  <si>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</si>
  <si>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</si>
  <si>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</si>
  <si>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</si>
  <si>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</si>
  <si>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</si>
  <si>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</si>
  <si>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</si>
  <si>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</si>
  <si>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</si>
  <si>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</si>
  <si>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</si>
  <si>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</si>
  <si>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</si>
  <si>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</si>
  <si>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</si>
  <si>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</si>
  <si>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</si>
  <si>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</si>
  <si>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</si>
  <si>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</si>
  <si>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</si>
  <si>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</si>
  <si>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</si>
  <si>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</si>
  <si>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</si>
  <si>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</si>
  <si>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</si>
  <si>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</si>
  <si>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</si>
  <si>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</si>
  <si>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</si>
  <si>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</si>
  <si>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</si>
  <si>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</si>
  <si>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</si>
  <si>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</si>
  <si>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</si>
  <si>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</si>
  <si>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</si>
  <si>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</si>
  <si>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</si>
  <si>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</si>
  <si>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</si>
  <si>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</si>
  <si>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</si>
  <si>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</si>
  <si>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</si>
  <si>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</si>
  <si>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</si>
  <si>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</si>
  <si>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</si>
  <si>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</si>
  <si>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</si>
  <si>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</si>
  <si>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</si>
  <si>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</si>
  <si>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</si>
  <si>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</si>
  <si>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</si>
  <si>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</si>
  <si>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</si>
  <si>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</si>
  <si>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</si>
  <si>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</si>
  <si>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</si>
  <si>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</si>
  <si>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</si>
  <si>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</si>
  <si>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</si>
  <si>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</si>
  <si>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</si>
  <si>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</si>
  <si>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</si>
  <si>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</si>
  <si>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</si>
  <si>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</si>
  <si>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</si>
  <si>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</si>
  <si>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</si>
  <si>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</si>
  <si>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</si>
  <si>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</si>
  <si>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</si>
  <si>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</si>
  <si>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</si>
  <si>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</si>
  <si>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</si>
  <si>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</si>
  <si>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</si>
  <si>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</si>
  <si>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</si>
  <si>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</si>
  <si>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</si>
  <si>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</si>
  <si>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</si>
  <si>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</si>
  <si>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</si>
  <si>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</si>
  <si>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</si>
  <si>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</si>
  <si>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</si>
  <si>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</si>
  <si>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</si>
  <si>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</si>
  <si>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</si>
  <si>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</si>
  <si>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</si>
  <si>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</si>
  <si>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</si>
  <si>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</si>
  <si>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</si>
  <si>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</si>
  <si>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</si>
  <si>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</si>
  <si>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</si>
  <si>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</si>
  <si>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</si>
  <si>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</si>
  <si>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</si>
  <si>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</si>
  <si>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</si>
  <si>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</si>
  <si>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</si>
  <si>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</si>
  <si>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</si>
  <si>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</si>
  <si>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</si>
  <si>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</si>
  <si>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</si>
  <si>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</si>
  <si>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</si>
  <si>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</si>
  <si>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</si>
  <si>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</si>
  <si>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</si>
  <si>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</si>
  <si>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</si>
  <si>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</si>
  <si>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</si>
  <si>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</si>
  <si>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</si>
  <si>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</si>
  <si>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</si>
  <si>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</si>
  <si>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</si>
  <si>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</si>
  <si>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</si>
  <si>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</si>
  <si>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</si>
  <si>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</si>
  <si>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</si>
  <si>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</si>
  <si>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</si>
  <si>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</si>
  <si>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</si>
  <si>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</si>
  <si>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</si>
  <si>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</si>
  <si>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</si>
  <si>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</si>
  <si>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</si>
  <si>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</si>
  <si>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</si>
  <si>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</si>
  <si>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</si>
  <si>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</si>
  <si>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</si>
  <si>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</si>
  <si>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</si>
  <si>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</si>
  <si>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</si>
  <si>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</si>
  <si>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</si>
  <si>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</si>
  <si>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</si>
  <si>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</si>
  <si>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</si>
  <si>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</si>
  <si>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</si>
  <si>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</si>
  <si>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</si>
  <si>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</si>
  <si>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</si>
  <si>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</si>
  <si>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</si>
  <si>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</si>
  <si>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</si>
  <si>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</si>
  <si>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</si>
  <si>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</si>
  <si>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</si>
  <si>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</si>
  <si>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</si>
  <si>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</si>
  <si>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</si>
  <si>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</si>
  <si>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</si>
  <si>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</si>
  <si>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</si>
  <si>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</si>
  <si>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</si>
  <si>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</si>
  <si>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</si>
  <si>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</si>
  <si>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</si>
  <si>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</si>
  <si>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</si>
  <si>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</si>
  <si>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</si>
  <si>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</si>
  <si>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</si>
  <si>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</si>
  <si>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</si>
  <si>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</si>
  <si>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</si>
  <si>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</si>
  <si>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</si>
  <si>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</si>
  <si>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</si>
  <si>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</si>
  <si>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</si>
  <si>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</si>
  <si>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</si>
  <si>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</si>
  <si>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</si>
  <si>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</si>
  <si>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</si>
  <si>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</si>
  <si>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</si>
  <si>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</si>
  <si>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</si>
  <si>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</si>
  <si>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</si>
  <si>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</si>
  <si>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</si>
  <si>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</si>
  <si>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</si>
  <si>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</si>
  <si>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</si>
  <si>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</si>
  <si>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</si>
  <si>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</si>
  <si>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</si>
  <si>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</si>
  <si>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</si>
  <si>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</si>
  <si>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</si>
  <si>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</si>
  <si>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</si>
  <si>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</si>
  <si>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</si>
  <si>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</si>
  <si>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</si>
  <si>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</si>
  <si>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</si>
  <si>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</si>
  <si>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</si>
  <si>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</si>
  <si>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</si>
  <si>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</si>
  <si>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</si>
  <si>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</si>
  <si>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</si>
  <si>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</si>
  <si>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</si>
  <si>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</si>
  <si>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</si>
  <si>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</si>
  <si>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</si>
  <si>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</si>
  <si>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</si>
  <si>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</si>
  <si>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</si>
  <si>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</si>
  <si>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</si>
  <si>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</si>
  <si>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</si>
  <si>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</si>
  <si>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</si>
  <si>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</si>
  <si>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</si>
  <si>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</si>
  <si>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</si>
  <si>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</si>
  <si>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</si>
  <si>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</si>
  <si>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</si>
  <si>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</si>
  <si>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</si>
  <si>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</si>
  <si>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</si>
  <si>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</si>
  <si>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</si>
  <si>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</si>
  <si>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</si>
  <si>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</si>
  <si>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</si>
  <si>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</si>
  <si>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</si>
  <si>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</si>
  <si>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</si>
  <si>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</si>
  <si>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</si>
  <si>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</si>
  <si>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</si>
  <si>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</si>
  <si>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</si>
  <si>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</si>
  <si>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</si>
  <si>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</si>
  <si>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</si>
  <si>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</si>
  <si>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</si>
  <si>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</si>
  <si>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</si>
  <si>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</si>
  <si>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</si>
  <si>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</si>
  <si>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</si>
  <si>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</si>
  <si>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</si>
  <si>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</si>
  <si>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</si>
  <si>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</si>
  <si>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</si>
  <si>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</si>
  <si>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</si>
  <si>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</si>
  <si>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</si>
  <si>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</si>
  <si>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</si>
  <si>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</si>
  <si>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</si>
  <si>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</si>
  <si>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</si>
  <si>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</si>
  <si>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</si>
  <si>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</si>
  <si>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</si>
  <si>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</si>
  <si>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</si>
  <si>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</si>
  <si>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</si>
  <si>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</si>
  <si>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</si>
  <si>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</si>
  <si>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</si>
  <si>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</si>
  <si>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</si>
  <si>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</si>
  <si>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</si>
  <si>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</si>
  <si>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</si>
  <si>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</si>
  <si>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</si>
  <si>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</si>
  <si>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</si>
  <si>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</si>
  <si>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</si>
  <si>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</si>
  <si>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</si>
  <si>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</si>
  <si>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</si>
  <si>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</si>
  <si>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</si>
  <si>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</si>
  <si>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</si>
  <si>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</si>
  <si>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</si>
  <si>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</si>
  <si>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</si>
  <si>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</si>
  <si>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</si>
  <si>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</si>
  <si>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</si>
  <si>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</si>
  <si>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</si>
  <si>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</si>
  <si>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</si>
  <si>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</si>
  <si>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</si>
  <si>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</si>
  <si>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</si>
  <si>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</si>
  <si>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</si>
  <si>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</si>
  <si>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</si>
  <si>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</si>
  <si>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</si>
  <si>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</si>
  <si>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</si>
  <si>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</si>
  <si>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</si>
  <si>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</si>
  <si>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</si>
  <si>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</si>
  <si>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</si>
  <si>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</si>
  <si>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</si>
  <si>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</si>
  <si>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</si>
  <si>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</si>
  <si>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</si>
  <si>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</si>
  <si>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</si>
  <si>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</si>
  <si>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</si>
  <si>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</si>
  <si>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</si>
  <si>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</si>
  <si>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</si>
  <si>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</si>
  <si>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</si>
  <si>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</si>
  <si>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</si>
  <si>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</si>
  <si>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</si>
  <si>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</si>
  <si>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</si>
  <si>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</si>
  <si>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</si>
  <si>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</si>
  <si>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</si>
  <si>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</si>
  <si>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</si>
  <si>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</si>
  <si>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</si>
  <si>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</si>
  <si>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</si>
  <si>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</si>
  <si>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</si>
  <si>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</si>
  <si>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</si>
  <si>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</si>
  <si>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</si>
  <si>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</si>
  <si>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</si>
  <si>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</si>
  <si>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</si>
  <si>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</si>
  <si>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</si>
  <si>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</si>
  <si>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</si>
  <si>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</si>
  <si>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</si>
  <si>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</si>
  <si>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</si>
  <si>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</si>
  <si>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</si>
  <si>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</si>
  <si>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</si>
  <si>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</si>
  <si>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</si>
  <si>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</si>
  <si>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</si>
  <si>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</si>
  <si>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</si>
  <si>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</si>
  <si>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</si>
  <si>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</si>
  <si>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</si>
  <si>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</si>
  <si>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</si>
  <si>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</si>
  <si>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</si>
  <si>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</si>
  <si>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</si>
  <si>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</si>
  <si>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</si>
  <si>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</si>
  <si>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</si>
  <si>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</si>
  <si>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</si>
  <si>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</si>
  <si>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</si>
  <si>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</si>
  <si>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</si>
  <si>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</si>
  <si>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</si>
  <si>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</si>
  <si>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</si>
  <si>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</si>
  <si>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</si>
  <si>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</si>
  <si>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</si>
  <si>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</si>
  <si>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</si>
  <si>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</si>
  <si>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</si>
  <si>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</si>
  <si>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</si>
  <si>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</si>
  <si>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</si>
  <si>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</si>
  <si>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</si>
  <si>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</si>
  <si>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</si>
  <si>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</si>
  <si>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</si>
  <si>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</si>
  <si>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</si>
  <si>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</si>
  <si>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</si>
  <si>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</si>
  <si>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</si>
  <si>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</si>
  <si>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</si>
  <si>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</si>
  <si>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</si>
  <si>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</si>
  <si>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</si>
  <si>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</si>
  <si>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</si>
  <si>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</si>
  <si>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</si>
  <si>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</si>
  <si>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</si>
  <si>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</si>
  <si>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</si>
  <si>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</si>
  <si>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</si>
  <si>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</si>
  <si>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</si>
  <si>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</si>
  <si>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</si>
  <si>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</si>
  <si>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</si>
  <si>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</si>
  <si>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</si>
  <si>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</si>
  <si>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</si>
  <si>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</si>
  <si>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</si>
  <si>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</si>
  <si>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</si>
  <si>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</si>
  <si>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</si>
  <si>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</si>
  <si>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</si>
  <si>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</si>
  <si>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</si>
  <si>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</si>
  <si>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</si>
  <si>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</si>
  <si>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</si>
  <si>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</si>
  <si>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</si>
  <si>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</si>
  <si>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</si>
  <si>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</si>
  <si>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</si>
  <si>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</si>
  <si>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</si>
  <si>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</si>
  <si>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</si>
  <si>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</si>
  <si>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</si>
  <si>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</si>
  <si>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</si>
  <si>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</si>
  <si>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</si>
  <si>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</si>
  <si>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</si>
  <si>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</si>
  <si>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</si>
  <si>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</si>
  <si>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</si>
  <si>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</si>
  <si>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</si>
  <si>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</si>
  <si>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</si>
  <si>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</si>
  <si>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</si>
  <si>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</si>
  <si>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</si>
  <si>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</si>
  <si>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</si>
  <si>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</si>
  <si>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</si>
  <si>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</si>
  <si>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</si>
  <si>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</si>
  <si>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</si>
  <si>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</si>
  <si>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</si>
  <si>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</si>
  <si>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</si>
  <si>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</si>
  <si>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</si>
  <si>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</si>
  <si>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</si>
  <si>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</si>
  <si>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</si>
  <si>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</si>
  <si>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</si>
  <si>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</si>
  <si>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</si>
  <si>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</si>
  <si>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</si>
  <si>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</si>
  <si>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</si>
  <si>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</si>
  <si>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</si>
  <si>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</si>
  <si>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</si>
  <si>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</si>
  <si>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</si>
  <si>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</si>
  <si>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</si>
  <si>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</si>
  <si>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</si>
  <si>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</si>
  <si>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</si>
  <si>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</si>
  <si>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</si>
  <si>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</si>
  <si>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</si>
  <si>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</si>
  <si>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</si>
  <si>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</si>
  <si>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</si>
  <si>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</si>
  <si>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</si>
  <si>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</si>
  <si>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</si>
  <si>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</si>
  <si>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</si>
  <si>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</si>
  <si>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</si>
  <si>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</si>
  <si>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</si>
  <si>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</si>
  <si>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</si>
  <si>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</si>
  <si>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</si>
  <si>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</si>
  <si>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</si>
  <si>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</si>
  <si>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</si>
  <si>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</si>
  <si>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</si>
  <si>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</si>
  <si>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</si>
  <si>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</si>
  <si>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</si>
  <si>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</si>
  <si>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</si>
  <si>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</si>
  <si>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</si>
  <si>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</si>
  <si>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</si>
  <si>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</si>
  <si>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</si>
  <si>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</si>
  <si>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</si>
  <si>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</si>
  <si>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</si>
  <si>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</si>
  <si>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</si>
  <si>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</si>
  <si>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</si>
  <si>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</si>
  <si>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</si>
  <si>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</si>
  <si>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</si>
  <si>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</si>
  <si>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</si>
  <si>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</si>
  <si>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</si>
  <si>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</si>
  <si>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</si>
  <si>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</si>
  <si>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</si>
  <si>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</si>
  <si>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</si>
  <si>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</si>
  <si>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</si>
  <si>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</si>
  <si>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</si>
  <si>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</si>
  <si>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</si>
  <si>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</si>
  <si>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</si>
  <si>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</si>
  <si>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</si>
  <si>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</si>
  <si>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</si>
  <si>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</si>
  <si>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</si>
  <si>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</si>
  <si>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</si>
  <si>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</si>
  <si>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</si>
  <si>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</si>
  <si>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</si>
  <si>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</si>
  <si>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</si>
  <si>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</si>
  <si>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</si>
  <si>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</si>
  <si>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</si>
  <si>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</si>
  <si>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</si>
  <si>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</si>
  <si>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</si>
  <si>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</si>
  <si>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</si>
  <si>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</si>
  <si>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</si>
  <si>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</si>
  <si>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</si>
  <si>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</si>
  <si>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</si>
  <si>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</si>
  <si>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</si>
  <si>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</si>
  <si>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</si>
  <si>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</si>
  <si>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</si>
  <si>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</si>
  <si>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</si>
  <si>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</si>
  <si>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</si>
  <si>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</si>
  <si>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</si>
  <si>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</si>
  <si>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</si>
  <si>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</si>
  <si>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</si>
  <si>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</si>
  <si>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</si>
  <si>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</si>
  <si>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</si>
  <si>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</si>
  <si>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</si>
  <si>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</si>
  <si>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</si>
  <si>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</si>
  <si>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</si>
  <si>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</si>
  <si>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</si>
  <si>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</si>
  <si>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</si>
  <si>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</si>
  <si>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</si>
  <si>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</si>
  <si>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</si>
  <si>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</si>
  <si>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</si>
  <si>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</si>
  <si>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</si>
  <si>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</si>
  <si>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</si>
  <si>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</si>
  <si>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</si>
  <si>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</si>
  <si>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</si>
  <si>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</si>
  <si>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</si>
  <si>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</si>
  <si>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</si>
  <si>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</si>
  <si>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</si>
  <si>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</si>
  <si>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</si>
  <si>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</si>
  <si>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</si>
  <si>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</si>
  <si>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</si>
  <si>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</si>
  <si>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</si>
  <si>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</si>
  <si>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</si>
  <si>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</si>
  <si>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</si>
  <si>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</si>
  <si>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</si>
  <si>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</si>
  <si>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</si>
  <si>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</si>
  <si>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</si>
  <si>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</si>
  <si>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</si>
  <si>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</si>
  <si>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</si>
  <si>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</si>
  <si>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</si>
  <si>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</si>
  <si>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</si>
  <si>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</si>
  <si>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</si>
  <si>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</si>
  <si>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</si>
  <si>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</si>
  <si>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</si>
  <si>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</si>
  <si>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</si>
  <si>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</si>
  <si>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</si>
  <si>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</si>
  <si>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</si>
  <si>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</si>
  <si>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</si>
  <si>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</si>
  <si>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</si>
  <si>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</si>
  <si>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</si>
  <si>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</si>
  <si>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</si>
  <si>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</si>
  <si>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</si>
  <si>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</si>
  <si>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</si>
  <si>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</si>
  <si>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</si>
  <si>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</si>
  <si>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</si>
  <si>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</si>
  <si>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</si>
  <si>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</si>
  <si>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</si>
  <si>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</si>
  <si>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</si>
  <si>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</si>
  <si>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</si>
  <si>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</si>
  <si>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</si>
  <si>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</si>
  <si>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</si>
  <si>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</si>
  <si>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</si>
  <si>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</si>
  <si>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</si>
  <si>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</si>
  <si>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</si>
  <si>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</si>
  <si>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</si>
  <si>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</si>
  <si>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</si>
  <si>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</si>
  <si>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</si>
  <si>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</si>
  <si>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</si>
  <si>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</si>
  <si>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</si>
  <si>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</si>
  <si>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</si>
  <si>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</si>
  <si>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</si>
  <si>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</si>
  <si>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</si>
  <si>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</si>
  <si>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</si>
  <si>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</si>
  <si>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</si>
  <si>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</si>
  <si>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</si>
  <si>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</si>
  <si>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</si>
  <si>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</si>
  <si>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</si>
  <si>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</si>
  <si>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</si>
  <si>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</si>
  <si>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</si>
  <si>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</si>
  <si>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</si>
  <si>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</si>
  <si>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</si>
  <si>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</si>
  <si>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</si>
  <si>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</si>
  <si>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</si>
  <si>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</si>
  <si>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</si>
  <si>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</si>
  <si>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</si>
  <si>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</si>
  <si>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</si>
  <si>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</si>
  <si>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</si>
  <si>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</si>
  <si>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</si>
  <si>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</si>
  <si>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</si>
  <si>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</si>
  <si>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</si>
  <si>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</si>
  <si>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</si>
  <si>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</si>
  <si>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</si>
  <si>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</si>
  <si>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</si>
  <si>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</si>
  <si>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</si>
  <si>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</si>
  <si>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</si>
  <si>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</si>
  <si>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</si>
  <si>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</si>
  <si>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</si>
  <si>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</si>
  <si>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</si>
  <si>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</si>
  <si>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</si>
  <si>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</si>
  <si>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</si>
  <si>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</si>
  <si>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</si>
  <si>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</si>
  <si>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</si>
  <si>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</si>
  <si>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</si>
  <si>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</si>
  <si>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</si>
  <si>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</si>
  <si>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</si>
  <si>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</si>
  <si>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</si>
  <si>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</si>
  <si>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</si>
  <si>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</si>
  <si>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</si>
  <si>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</si>
  <si>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</si>
  <si>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</si>
  <si>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</si>
  <si>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</si>
  <si>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</si>
  <si>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</si>
  <si>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</si>
  <si>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</si>
  <si>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</si>
  <si>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</si>
  <si>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</si>
  <si>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</si>
  <si>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</si>
  <si>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</si>
  <si>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</si>
  <si>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</si>
  <si>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</si>
  <si>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</si>
  <si>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</si>
  <si>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</si>
  <si>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</si>
  <si>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</si>
  <si>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</si>
  <si>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</si>
  <si>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</si>
  <si>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</si>
  <si>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</si>
  <si>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</si>
  <si>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</si>
  <si>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</si>
  <si>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</si>
  <si>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</si>
  <si>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</si>
  <si>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</si>
  <si>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</si>
  <si>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</si>
  <si>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</si>
  <si>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</si>
  <si>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</si>
  <si>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</si>
  <si>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</si>
  <si>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</si>
  <si>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</si>
  <si>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</si>
  <si>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</si>
  <si>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</si>
  <si>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</si>
  <si>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</si>
  <si>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</si>
  <si>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</si>
  <si>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</si>
  <si>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</si>
  <si>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</si>
  <si>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</si>
  <si>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</si>
  <si>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</si>
  <si>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</si>
  <si>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</si>
  <si>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</si>
  <si>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</si>
  <si>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</si>
  <si>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</si>
  <si>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</si>
  <si>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</si>
  <si>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</si>
  <si>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</si>
  <si>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</si>
  <si>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</si>
  <si>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</si>
  <si>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</si>
  <si>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</si>
  <si>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</si>
  <si>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</si>
  <si>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</si>
  <si>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</si>
  <si>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</si>
  <si>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</si>
  <si>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</si>
  <si>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</si>
  <si>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</si>
  <si>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</si>
  <si>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</si>
  <si>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</si>
  <si>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</si>
  <si>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</si>
  <si>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</si>
  <si>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</si>
  <si>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</si>
  <si>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</si>
  <si>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</si>
  <si>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</si>
  <si>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</si>
  <si>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</si>
  <si>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</si>
  <si>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</si>
  <si>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</si>
  <si>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</si>
  <si>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</si>
  <si>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</si>
  <si>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</si>
  <si>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</si>
  <si>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</si>
  <si>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</si>
  <si>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</si>
  <si>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</si>
  <si>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</si>
  <si>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</si>
  <si>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</si>
  <si>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</si>
  <si>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</si>
  <si>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</si>
  <si>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</si>
  <si>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</si>
  <si>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</si>
  <si>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</si>
  <si>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</si>
  <si>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</si>
  <si>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</si>
  <si>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</si>
  <si>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</si>
  <si>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</si>
  <si>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</si>
  <si>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</si>
  <si>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</si>
  <si>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</si>
  <si>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</si>
  <si>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</si>
  <si>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</si>
  <si>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</si>
  <si>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</si>
  <si>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</si>
  <si>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</si>
  <si>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</si>
  <si>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</si>
  <si>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</si>
  <si>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</si>
  <si>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</si>
  <si>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</si>
  <si>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</si>
  <si>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</si>
  <si>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</si>
  <si>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</si>
  <si>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</si>
  <si>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</si>
  <si>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</si>
  <si>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</si>
  <si>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</si>
  <si>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</si>
  <si>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</si>
  <si>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</si>
  <si>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</si>
  <si>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</si>
  <si>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</si>
  <si>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</si>
  <si>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</si>
  <si>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</si>
  <si>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</si>
  <si>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</si>
  <si>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</si>
  <si>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</si>
  <si>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</si>
  <si>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</si>
  <si>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</si>
  <si>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</si>
  <si>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</si>
  <si>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</si>
  <si>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</si>
  <si>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</si>
  <si>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</si>
  <si>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</si>
  <si>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</si>
  <si>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</si>
  <si>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</si>
  <si>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</si>
  <si>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</si>
  <si>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</si>
  <si>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</si>
  <si>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</si>
  <si>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</si>
  <si>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</si>
  <si>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</si>
  <si>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</si>
  <si>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</si>
  <si>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</si>
  <si>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</si>
  <si>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</si>
  <si>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</si>
  <si>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</si>
  <si>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</si>
  <si>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</si>
  <si>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</si>
  <si>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</si>
  <si>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</si>
  <si>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</si>
  <si>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</si>
  <si>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</si>
  <si>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</si>
  <si>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</si>
  <si>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</si>
  <si>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</si>
  <si>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</si>
  <si>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</si>
  <si>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</si>
  <si>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</si>
  <si>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</si>
  <si>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</si>
  <si>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</si>
  <si>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</si>
  <si>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</si>
  <si>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</si>
  <si>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</si>
  <si>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</si>
  <si>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</si>
  <si>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</si>
  <si>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</si>
  <si>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</si>
  <si>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</si>
  <si>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</si>
  <si>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</si>
  <si>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</si>
  <si>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</si>
  <si>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</si>
  <si>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</si>
  <si>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</si>
  <si>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</si>
  <si>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</si>
  <si>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</si>
  <si>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</si>
  <si>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</si>
  <si>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</si>
  <si>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</si>
  <si>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</si>
  <si>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</si>
  <si>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</si>
  <si>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</si>
  <si>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</si>
  <si>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</si>
  <si>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</si>
  <si>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</si>
  <si>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</si>
  <si>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</si>
  <si>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</si>
  <si>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</si>
  <si>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</si>
  <si>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</si>
  <si>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</si>
  <si>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</si>
  <si>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</si>
  <si>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</si>
  <si>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</si>
  <si>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</si>
  <si>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</si>
  <si>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</si>
  <si>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</si>
  <si>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</si>
  <si>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</si>
  <si>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</si>
  <si>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</si>
  <si>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</si>
  <si>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</si>
  <si>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</si>
  <si>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</si>
  <si>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</si>
  <si>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</si>
  <si>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</si>
  <si>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</si>
  <si>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</si>
  <si>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</si>
  <si>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</si>
  <si>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</si>
  <si>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</si>
  <si>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</si>
  <si>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</si>
  <si>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</si>
  <si>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</si>
  <si>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</si>
  <si>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</si>
  <si>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</si>
  <si>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</si>
  <si>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</si>
  <si>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</si>
  <si>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</si>
  <si>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</si>
  <si>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</si>
  <si>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</si>
  <si>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</si>
  <si>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</si>
  <si>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</si>
  <si>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</si>
  <si>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</si>
  <si>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</si>
  <si>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</si>
  <si>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</si>
  <si>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</si>
  <si>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</si>
  <si>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</si>
  <si>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</si>
  <si>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</si>
  <si>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</si>
  <si>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</si>
  <si>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</si>
  <si>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</si>
  <si>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</si>
  <si>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</si>
  <si>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</si>
  <si>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</si>
  <si>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</si>
  <si>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</si>
  <si>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</si>
  <si>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</si>
  <si>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</si>
  <si>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</si>
  <si>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</si>
  <si>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</si>
  <si>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</si>
  <si>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</si>
  <si>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</si>
  <si>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</si>
  <si>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</si>
  <si>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</si>
  <si>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</si>
  <si>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</si>
  <si>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</si>
  <si>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</si>
  <si>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</si>
  <si>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</si>
  <si>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</si>
  <si>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</si>
  <si>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</si>
  <si>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</si>
  <si>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</si>
  <si>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</si>
  <si>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</si>
  <si>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</si>
  <si>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</si>
  <si>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</si>
  <si>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</si>
  <si>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</si>
  <si>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</si>
  <si>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</si>
  <si>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</si>
  <si>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</si>
  <si>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</si>
  <si>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</si>
  <si>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</si>
  <si>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</si>
  <si>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</si>
  <si>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</si>
  <si>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</si>
  <si>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</si>
  <si>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</si>
  <si>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</si>
  <si>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</si>
  <si>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</si>
  <si>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</si>
  <si>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</si>
  <si>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</si>
  <si>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</si>
  <si>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</si>
  <si>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</si>
  <si>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</si>
  <si>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</si>
  <si>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</si>
  <si>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</si>
  <si>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</si>
  <si>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</si>
  <si>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</si>
  <si>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</si>
  <si>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</si>
  <si>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</si>
  <si>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</si>
  <si>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</si>
  <si>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</si>
  <si>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</si>
  <si>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</si>
  <si>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</si>
  <si>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</si>
  <si>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</si>
  <si>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</si>
  <si>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</si>
  <si>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</si>
  <si>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</si>
  <si>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</si>
  <si>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</si>
  <si>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</si>
  <si>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</si>
  <si>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</si>
  <si>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</si>
  <si>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</si>
  <si>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</si>
  <si>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</si>
  <si>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</si>
  <si>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</si>
  <si>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</si>
  <si>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</si>
  <si>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</si>
  <si>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</si>
  <si>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</si>
  <si>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</si>
  <si>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</si>
  <si>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</si>
  <si>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</si>
  <si>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</si>
  <si>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</si>
  <si>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</si>
  <si>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</si>
  <si>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</si>
  <si>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</si>
  <si>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</si>
  <si>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</si>
  <si>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</si>
  <si>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</si>
  <si>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</si>
  <si>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</si>
  <si>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</si>
  <si>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</si>
  <si>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</si>
  <si>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</si>
  <si>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</si>
  <si>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</si>
  <si>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</si>
  <si>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</si>
  <si>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</si>
  <si>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</si>
  <si>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</si>
  <si>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</si>
  <si>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</si>
  <si>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</si>
  <si>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</si>
  <si>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</si>
  <si>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</si>
  <si>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</si>
  <si>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</si>
  <si>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</si>
  <si>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</si>
  <si>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</si>
  <si>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</si>
  <si>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</si>
  <si>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</si>
  <si>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</si>
  <si>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</si>
  <si>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</si>
  <si>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</si>
  <si>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</si>
  <si>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</si>
  <si>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</si>
  <si>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</si>
  <si>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</si>
  <si>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</si>
  <si>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</si>
  <si>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</si>
  <si>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</si>
  <si>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</si>
  <si>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</si>
  <si>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</si>
  <si>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</si>
  <si>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</si>
  <si>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</si>
  <si>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</si>
  <si>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</si>
  <si>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</si>
  <si>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</si>
  <si>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</si>
  <si>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</si>
  <si>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</si>
  <si>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</si>
  <si>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</si>
  <si>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</si>
  <si>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</si>
  <si>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</si>
  <si>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</si>
  <si>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</si>
  <si>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</si>
  <si>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</si>
  <si>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</si>
  <si>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</si>
  <si>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</si>
  <si>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</si>
  <si>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</si>
  <si>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</si>
  <si>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</si>
  <si>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</si>
  <si>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</si>
  <si>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</si>
  <si>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</si>
  <si>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</si>
  <si>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</si>
  <si>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</si>
  <si>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</si>
  <si>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</si>
  <si>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</si>
  <si>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</si>
  <si>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</si>
  <si>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</si>
  <si>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</si>
  <si>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</si>
  <si>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</si>
  <si>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</si>
  <si>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</si>
  <si>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</si>
  <si>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</si>
  <si>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</si>
  <si>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</si>
  <si>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</si>
  <si>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</si>
  <si>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</si>
  <si>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</si>
  <si>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</si>
  <si>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</si>
  <si>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</si>
  <si>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</si>
  <si>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</si>
  <si>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</si>
  <si>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</si>
  <si>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</si>
  <si>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</si>
  <si>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</si>
  <si>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</si>
  <si>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</si>
  <si>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</si>
  <si>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</si>
  <si>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</si>
  <si>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</si>
  <si>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</si>
  <si>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</si>
  <si>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</si>
  <si>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</si>
  <si>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</si>
  <si>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</si>
  <si>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</si>
  <si>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</si>
  <si>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</si>
  <si>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</si>
  <si>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</si>
  <si>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</si>
  <si>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</si>
  <si>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</si>
  <si>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</si>
  <si>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</si>
  <si>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</si>
  <si>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</si>
  <si>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</si>
  <si>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</si>
  <si>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</si>
  <si>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</si>
  <si>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</si>
  <si>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</si>
  <si>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</si>
  <si>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</si>
  <si>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</si>
  <si>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</si>
  <si>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</si>
  <si>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</si>
  <si>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</si>
  <si>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</si>
  <si>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</si>
  <si>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</si>
  <si>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</si>
  <si>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</si>
  <si>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</si>
  <si>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</si>
  <si>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</si>
  <si>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</si>
  <si>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</si>
  <si>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</si>
  <si>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</si>
  <si>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</si>
  <si>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</si>
  <si>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</si>
  <si>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</si>
  <si>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</si>
  <si>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</si>
  <si>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</si>
  <si>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</si>
  <si>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</si>
  <si>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</si>
  <si>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</si>
  <si>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</si>
  <si>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</si>
  <si>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</si>
  <si>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</si>
  <si>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</si>
  <si>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</si>
  <si>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</si>
  <si>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</si>
  <si>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</si>
  <si>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</si>
  <si>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</si>
  <si>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</si>
  <si>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</si>
  <si>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</si>
  <si>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</si>
  <si>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</si>
  <si>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</si>
  <si>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</si>
  <si>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</si>
  <si>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</si>
  <si>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</si>
  <si>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</si>
  <si>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</si>
  <si>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</si>
  <si>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</si>
  <si>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</si>
  <si>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</si>
  <si>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</si>
  <si>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</si>
  <si>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</si>
  <si>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</si>
  <si>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</si>
  <si>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</si>
  <si>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</si>
  <si>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</si>
  <si>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</si>
  <si>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</si>
  <si>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</si>
  <si>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</si>
  <si>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</si>
  <si>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</si>
  <si>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</si>
  <si>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</si>
  <si>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</si>
  <si>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</si>
  <si>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</si>
  <si>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</si>
  <si>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</si>
  <si>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</si>
  <si>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</si>
  <si>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</si>
  <si>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</si>
  <si>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</si>
  <si>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</si>
  <si>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</si>
  <si>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</si>
  <si>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</si>
  <si>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</si>
  <si>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</si>
  <si>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</si>
  <si>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</si>
  <si>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</si>
  <si>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</si>
  <si>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</si>
  <si>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</si>
  <si>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</si>
  <si>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</si>
  <si>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</si>
  <si>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</si>
  <si>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</si>
  <si>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</si>
  <si>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</si>
  <si>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</si>
  <si>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</si>
  <si>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</si>
  <si>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</si>
  <si>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</si>
  <si>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</si>
  <si>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</si>
  <si>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</si>
  <si>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</si>
  <si>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</si>
  <si>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</si>
  <si>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</si>
  <si>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</si>
  <si>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</si>
  <si>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</si>
  <si>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</si>
  <si>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</si>
  <si>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</si>
  <si>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</si>
  <si>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</si>
  <si>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</si>
  <si>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</si>
  <si>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</si>
  <si>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</si>
  <si>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</si>
  <si>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</si>
  <si>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</si>
  <si>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</si>
  <si>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</si>
  <si>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</si>
  <si>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</si>
  <si>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</si>
  <si>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</si>
  <si>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</si>
  <si>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</si>
  <si>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</si>
  <si>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</si>
  <si>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</si>
  <si>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</si>
  <si>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</si>
  <si>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</si>
  <si>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</si>
  <si>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</si>
  <si>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</si>
  <si>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</si>
  <si>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</si>
  <si>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</si>
  <si>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</si>
  <si>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</si>
  <si>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</si>
  <si>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</si>
  <si>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</si>
  <si>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</si>
  <si>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</si>
  <si>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</si>
  <si>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</si>
  <si>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</si>
  <si>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</si>
  <si>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</si>
  <si>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</si>
  <si>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</si>
  <si>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</si>
  <si>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</si>
  <si>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</si>
  <si>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</si>
  <si>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</si>
  <si>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</si>
  <si>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</si>
  <si>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</si>
  <si>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</si>
  <si>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</si>
  <si>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</si>
  <si>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</si>
  <si>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</si>
  <si>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</si>
  <si>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</si>
  <si>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</si>
  <si>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</si>
  <si>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</si>
  <si>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</si>
  <si>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</si>
  <si>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</si>
  <si>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</si>
  <si>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</si>
  <si>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</si>
  <si>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</si>
  <si>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</si>
  <si>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</si>
  <si>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</si>
  <si>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</si>
  <si>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</si>
  <si>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</si>
  <si>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</si>
  <si>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</si>
  <si>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</si>
  <si>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</si>
  <si>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</si>
  <si>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</si>
  <si>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</si>
  <si>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</si>
  <si>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</si>
  <si>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</si>
  <si>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</si>
  <si>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</si>
  <si>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</si>
  <si>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</si>
  <si>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</si>
  <si>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</si>
  <si>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</si>
  <si>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</si>
  <si>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</si>
  <si>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</si>
  <si>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</si>
  <si>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</si>
  <si>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</si>
  <si>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</si>
  <si>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</si>
  <si>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</si>
  <si>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</si>
  <si>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</si>
  <si>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</si>
  <si>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</si>
  <si>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</si>
  <si>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</si>
  <si>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</si>
  <si>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</si>
  <si>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</si>
  <si>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</si>
  <si>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</si>
  <si>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</si>
  <si>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</si>
  <si>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</si>
  <si>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</si>
  <si>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</si>
  <si>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</si>
  <si>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</si>
  <si>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</si>
  <si>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</si>
  <si>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</si>
  <si>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</si>
  <si>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</si>
  <si>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</si>
  <si>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</si>
  <si>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</si>
  <si>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</si>
  <si>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</si>
  <si>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</si>
  <si>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</si>
  <si>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</si>
  <si>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</si>
  <si>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</si>
  <si>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</si>
  <si>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</si>
  <si>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</si>
  <si>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</si>
  <si>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</si>
  <si>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</si>
  <si>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</si>
  <si>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</si>
  <si>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</si>
  <si>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</si>
  <si>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</si>
  <si>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</si>
  <si>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</si>
  <si>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</si>
  <si>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</si>
  <si>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</si>
  <si>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</si>
  <si>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</si>
  <si>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</si>
  <si>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</si>
  <si>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</si>
  <si>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</si>
  <si>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</si>
  <si>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</si>
  <si>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</si>
  <si>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</si>
  <si>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</si>
  <si>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</si>
  <si>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</si>
  <si>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</si>
  <si>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</si>
  <si>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</si>
  <si>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</si>
  <si>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</si>
  <si>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</si>
  <si>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</si>
  <si>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</si>
  <si>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</si>
  <si>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</si>
  <si>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</si>
  <si>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</si>
  <si>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</si>
  <si>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</si>
  <si>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</si>
  <si>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</si>
  <si>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</si>
  <si>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</si>
  <si>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</si>
  <si>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</si>
  <si>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</si>
  <si>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</si>
  <si>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</si>
  <si>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</si>
  <si>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</si>
  <si>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</si>
  <si>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</si>
  <si>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</si>
  <si>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</si>
  <si>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</si>
  <si>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</si>
  <si>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</si>
  <si>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</si>
  <si>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</si>
  <si>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</si>
  <si>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</si>
  <si>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</si>
  <si>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</si>
  <si>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</si>
  <si>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</si>
  <si>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</si>
  <si>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</si>
  <si>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</si>
  <si>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</si>
  <si>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</si>
  <si>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</si>
  <si>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</si>
  <si>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</si>
  <si>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</si>
  <si>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</si>
  <si>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</si>
  <si>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</si>
  <si>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</si>
  <si>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</si>
  <si>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</si>
  <si>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</si>
  <si>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</si>
  <si>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</si>
  <si>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</si>
  <si>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</si>
  <si>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</si>
  <si>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</si>
  <si>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</si>
  <si>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</si>
  <si>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</si>
  <si>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</si>
  <si>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</si>
  <si>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</si>
  <si>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</si>
  <si>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</si>
  <si>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</si>
  <si>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</si>
  <si>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</si>
  <si>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</si>
  <si>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</si>
  <si>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</si>
  <si>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</si>
  <si>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</si>
  <si>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</si>
  <si>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</si>
  <si>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</si>
  <si>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</si>
  <si>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</si>
  <si>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</si>
  <si>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</si>
  <si>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</si>
  <si>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</si>
  <si>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</si>
  <si>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</si>
  <si>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</si>
  <si>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</si>
  <si>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</si>
  <si>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</si>
  <si>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</si>
  <si>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</si>
  <si>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</si>
  <si>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</si>
  <si>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</si>
  <si>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</si>
  <si>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</si>
  <si>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</si>
  <si>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</si>
  <si>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</si>
  <si>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</si>
  <si>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</si>
  <si>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</si>
  <si>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</si>
  <si>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</si>
  <si>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</si>
  <si>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</si>
  <si>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</si>
  <si>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</si>
  <si>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</si>
  <si>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</si>
  <si>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</si>
  <si>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</si>
  <si>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</si>
  <si>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</si>
  <si>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</si>
  <si>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</si>
  <si>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</si>
  <si>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</si>
  <si>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</si>
  <si>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</si>
  <si>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</si>
  <si>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</si>
  <si>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</si>
  <si>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</si>
  <si>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</si>
  <si>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</si>
  <si>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</si>
  <si>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</si>
  <si>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</si>
  <si>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</si>
  <si>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</si>
  <si>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</si>
  <si>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</si>
  <si>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</si>
  <si>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</si>
  <si>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</si>
  <si>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</si>
  <si>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</si>
  <si>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</si>
  <si>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</si>
  <si>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</si>
  <si>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</si>
  <si>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</si>
  <si>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</si>
  <si>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</si>
  <si>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</si>
  <si>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</si>
  <si>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</si>
  <si>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</si>
  <si>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</si>
  <si>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</si>
  <si>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</si>
  <si>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</si>
  <si>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</si>
  <si>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</si>
  <si>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</si>
  <si>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</si>
  <si>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</si>
  <si>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</si>
  <si>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</si>
  <si>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</si>
  <si>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</si>
  <si>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</si>
  <si>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</si>
  <si>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</si>
  <si>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</si>
  <si>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</si>
  <si>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</si>
  <si>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</si>
  <si>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</si>
  <si>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</si>
  <si>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</si>
  <si>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</si>
  <si>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</si>
  <si>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</si>
  <si>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</si>
  <si>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</si>
  <si>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</si>
  <si>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</si>
  <si>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</si>
  <si>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</si>
  <si>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</si>
  <si>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</si>
  <si>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</si>
  <si>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</si>
  <si>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</si>
  <si>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</si>
  <si>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</si>
  <si>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</si>
  <si>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</si>
  <si>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</si>
  <si>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</si>
  <si>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</si>
  <si>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</si>
  <si>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</si>
  <si>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</si>
  <si>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</si>
  <si>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</si>
  <si>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</si>
  <si>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</si>
  <si>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</si>
  <si>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</si>
  <si>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</si>
  <si>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</si>
  <si>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</si>
  <si>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</si>
  <si>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</si>
  <si>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</si>
  <si>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</si>
  <si>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</si>
  <si>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</si>
  <si>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</si>
  <si>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</si>
  <si>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</si>
  <si>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</si>
  <si>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</si>
  <si>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</si>
  <si>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</si>
  <si>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</si>
  <si>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</si>
  <si>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</si>
  <si>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</si>
  <si>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</si>
  <si>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</si>
  <si>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</si>
  <si>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</si>
  <si>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</si>
  <si>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</si>
  <si>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</si>
  <si>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</si>
  <si>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</si>
  <si>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</si>
  <si>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</si>
  <si>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</si>
  <si>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</si>
  <si>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</si>
  <si>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</si>
  <si>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</si>
  <si>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</si>
  <si>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</si>
  <si>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</si>
  <si>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</si>
  <si>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</si>
  <si>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</si>
  <si>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</si>
  <si>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</si>
  <si>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</si>
  <si>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</si>
  <si>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</si>
  <si>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</si>
  <si>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</si>
  <si>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</si>
  <si>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</si>
  <si>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</si>
  <si>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</si>
  <si>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</si>
  <si>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</si>
  <si>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</si>
  <si>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</si>
  <si>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</si>
  <si>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</si>
  <si>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</si>
  <si>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</si>
  <si>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</si>
  <si>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</si>
  <si>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</si>
  <si>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</si>
  <si>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</si>
  <si>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</si>
  <si>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</si>
  <si>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</si>
  <si>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</si>
  <si>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</si>
  <si>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</si>
  <si>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</si>
  <si>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</si>
  <si>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</si>
  <si>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</si>
  <si>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</si>
  <si>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</si>
  <si>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</si>
  <si>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</si>
  <si>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</si>
  <si>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</si>
  <si>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</si>
  <si>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</si>
  <si>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</si>
  <si>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</si>
  <si>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</si>
  <si>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</si>
  <si>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</si>
  <si>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</si>
  <si>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</si>
  <si>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</si>
  <si>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</si>
  <si>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</si>
  <si>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</si>
  <si>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</si>
  <si>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</si>
  <si>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</si>
  <si>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</si>
  <si>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</si>
  <si>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</si>
  <si>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</si>
  <si>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</si>
  <si>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</si>
  <si>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</si>
  <si>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</si>
  <si>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</si>
  <si>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</si>
  <si>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</si>
  <si>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</si>
  <si>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</si>
  <si>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</si>
  <si>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</si>
  <si>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</si>
  <si>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</si>
  <si>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</si>
  <si>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</si>
  <si>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</si>
  <si>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</si>
  <si>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</si>
  <si>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</si>
  <si>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</si>
  <si>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</si>
  <si>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</si>
  <si>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</si>
  <si>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</si>
  <si>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</si>
  <si>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</si>
  <si>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</si>
  <si>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</si>
  <si>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</si>
  <si>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</si>
  <si>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</si>
  <si>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</si>
  <si>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</si>
  <si>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</si>
  <si>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</si>
  <si>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</si>
  <si>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</si>
  <si>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</si>
  <si>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</si>
  <si>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</si>
  <si>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</si>
  <si>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</si>
  <si>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</si>
  <si>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</si>
  <si>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</si>
  <si>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</si>
  <si>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</si>
  <si>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</si>
  <si>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</si>
  <si>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</si>
  <si>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</si>
  <si>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</si>
  <si>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</si>
  <si>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</si>
  <si>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</si>
  <si>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</si>
  <si>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</si>
  <si>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</si>
  <si>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</si>
  <si>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</si>
  <si>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</si>
  <si>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</si>
  <si>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</si>
  <si>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</si>
  <si>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</si>
  <si>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</si>
  <si>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</si>
  <si>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</si>
  <si>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</si>
  <si>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</si>
  <si>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</si>
  <si>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</si>
  <si>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</si>
  <si>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</si>
  <si>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</si>
  <si>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</si>
  <si>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</si>
  <si>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</si>
  <si>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</si>
  <si>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</si>
  <si>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</si>
  <si>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</si>
  <si>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</si>
  <si>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</si>
  <si>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</si>
  <si>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</si>
  <si>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</si>
  <si>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</si>
  <si>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</si>
  <si>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</si>
  <si>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</si>
  <si>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</si>
  <si>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</si>
  <si>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</si>
  <si>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</si>
  <si>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</si>
  <si>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</si>
  <si>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</si>
  <si>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</si>
  <si>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</si>
  <si>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</si>
  <si>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</si>
  <si>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</si>
  <si>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</si>
  <si>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</si>
  <si>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</si>
  <si>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</si>
  <si>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</si>
  <si>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</si>
  <si>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</si>
  <si>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</si>
  <si>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</si>
  <si>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</si>
  <si>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</si>
  <si>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</si>
  <si>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</si>
  <si>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</si>
  <si>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</si>
  <si>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</si>
  <si>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</si>
  <si>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</si>
  <si>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</si>
  <si>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</si>
  <si>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</si>
  <si>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</si>
  <si>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</si>
  <si>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</si>
  <si>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</si>
  <si>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</si>
  <si>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</si>
  <si>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</si>
  <si>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</si>
  <si>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</si>
  <si>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</si>
  <si>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</si>
  <si>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</si>
  <si>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</si>
  <si>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</si>
  <si>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</si>
  <si>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</si>
  <si>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</si>
  <si>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</si>
  <si>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</si>
  <si>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</si>
  <si>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</si>
  <si>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</si>
  <si>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</si>
  <si>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</si>
  <si>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</si>
  <si>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</si>
  <si>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</si>
  <si>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</si>
  <si>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</si>
  <si>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</si>
  <si>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</si>
  <si>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</si>
  <si>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</si>
  <si>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</si>
  <si>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</si>
  <si>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</si>
  <si>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</si>
  <si>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</si>
  <si>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</si>
  <si>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</si>
  <si>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</si>
  <si>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</si>
  <si>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</si>
  <si>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</si>
  <si>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</si>
  <si>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</si>
  <si>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</si>
  <si>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</si>
  <si>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</si>
  <si>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</si>
  <si>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</si>
  <si>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</si>
  <si>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</si>
  <si>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</si>
  <si>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</si>
  <si>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</si>
  <si>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</si>
  <si>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</si>
  <si>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</si>
  <si>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</si>
  <si>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</si>
  <si>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</si>
  <si>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</si>
  <si>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</si>
  <si>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</si>
  <si>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</si>
  <si>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</si>
  <si>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</si>
  <si>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</si>
  <si>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</si>
  <si>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</si>
  <si>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</si>
  <si>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</si>
  <si>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</si>
  <si>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</si>
  <si>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</si>
  <si>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</si>
  <si>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</si>
  <si>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</si>
  <si>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</si>
  <si>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</si>
  <si>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</si>
  <si>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</si>
  <si>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</si>
  <si>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</si>
  <si>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</si>
  <si>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</si>
  <si>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</si>
  <si>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</si>
  <si>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</si>
  <si>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</si>
  <si>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</si>
  <si>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</si>
  <si>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</si>
  <si>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</si>
  <si>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</si>
  <si>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</si>
  <si>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</si>
  <si>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</si>
  <si>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</si>
  <si>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</si>
  <si>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</si>
  <si>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</si>
  <si>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</si>
  <si>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</si>
  <si>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</si>
  <si>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</si>
  <si>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</si>
  <si>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</si>
  <si>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</si>
  <si>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</si>
  <si>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</si>
  <si>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</si>
  <si>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</si>
  <si>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</si>
  <si>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</si>
  <si>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</si>
  <si>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</si>
  <si>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</si>
  <si>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</si>
  <si>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</si>
  <si>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</si>
  <si>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</si>
  <si>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</si>
  <si>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</si>
  <si>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</si>
  <si>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</si>
  <si>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</si>
  <si>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</si>
  <si>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</si>
  <si>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</si>
  <si>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</si>
  <si>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</si>
  <si>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</si>
  <si>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</si>
  <si>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</si>
  <si>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</si>
  <si>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</si>
  <si>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</si>
  <si>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</si>
  <si>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</si>
  <si>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</si>
  <si>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</si>
  <si>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</si>
  <si>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</si>
  <si>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</si>
  <si>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</si>
  <si>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</si>
  <si>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</si>
  <si>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</si>
  <si>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</si>
  <si>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</si>
  <si>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</si>
  <si>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</si>
  <si>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</si>
  <si>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</si>
  <si>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</si>
  <si>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</si>
  <si>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</si>
  <si>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</si>
  <si>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</si>
  <si>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</si>
  <si>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</si>
  <si>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</si>
  <si>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</si>
  <si>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</si>
  <si>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</si>
  <si>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</si>
  <si>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</si>
  <si>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</si>
  <si>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</si>
  <si>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</si>
  <si>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</si>
  <si>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</si>
  <si>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</si>
  <si>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</si>
  <si>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</si>
  <si>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</si>
  <si>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</si>
  <si>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</si>
  <si>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</si>
  <si>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</si>
  <si>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</si>
  <si>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</si>
  <si>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</si>
  <si>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</si>
  <si>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</si>
  <si>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</si>
  <si>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</si>
  <si>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</si>
  <si>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</si>
  <si>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</si>
  <si>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</si>
  <si>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</si>
  <si>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</si>
  <si>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</si>
  <si>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</si>
  <si>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</si>
  <si>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</si>
  <si>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</si>
  <si>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</si>
  <si>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</si>
  <si>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</si>
  <si>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</si>
  <si>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</si>
  <si>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</si>
  <si>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</si>
  <si>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</si>
  <si>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</si>
  <si>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</si>
  <si>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</si>
  <si>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</si>
  <si>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</si>
  <si>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</si>
  <si>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</si>
  <si>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</si>
  <si>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</si>
  <si>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</si>
  <si>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</si>
  <si>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</si>
  <si>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</si>
  <si>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</si>
  <si>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</si>
  <si>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</si>
  <si>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</si>
  <si>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</si>
  <si>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</si>
  <si>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</si>
  <si>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</si>
  <si>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</si>
  <si>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</si>
  <si>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</si>
  <si>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</si>
  <si>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</si>
  <si>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</si>
  <si>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</si>
  <si>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</si>
  <si>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</si>
  <si>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</si>
  <si>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</si>
  <si>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</si>
  <si>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</si>
  <si>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</si>
  <si>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</si>
  <si>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</si>
  <si>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</si>
  <si>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</si>
  <si>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</si>
  <si>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</si>
  <si>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</si>
  <si>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</si>
  <si>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</si>
  <si>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</si>
  <si>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</si>
  <si>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</si>
  <si>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</si>
  <si>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</si>
  <si>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</si>
  <si>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</si>
  <si>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</si>
  <si>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</si>
  <si>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</si>
  <si>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</si>
  <si>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</si>
  <si>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</si>
  <si>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</si>
  <si>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</si>
  <si>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</si>
  <si>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</si>
  <si>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</si>
  <si>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</si>
  <si>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</si>
  <si>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</si>
  <si>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</si>
  <si>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</si>
  <si>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</si>
  <si>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</si>
  <si>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</si>
  <si>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</si>
  <si>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</si>
  <si>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</si>
  <si>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</si>
  <si>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</si>
  <si>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</si>
  <si>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</si>
  <si>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</si>
  <si>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</si>
  <si>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</si>
  <si>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</si>
  <si>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</si>
  <si>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</si>
  <si>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</si>
  <si>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</si>
  <si>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</si>
  <si>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</si>
  <si>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</si>
  <si>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</si>
  <si>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</si>
  <si>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</si>
  <si>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</si>
  <si>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</si>
  <si>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</si>
  <si>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</si>
  <si>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</si>
  <si>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</si>
  <si>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</si>
  <si>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</si>
  <si>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</si>
  <si>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</si>
  <si>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</si>
  <si>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</si>
  <si>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</si>
  <si>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</si>
  <si>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</si>
  <si>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</si>
  <si>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</si>
  <si>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</si>
  <si>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</si>
  <si>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</si>
  <si>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</si>
  <si>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</si>
  <si>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</si>
  <si>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</si>
  <si>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</si>
  <si>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</si>
  <si>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</si>
  <si>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</si>
  <si>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</si>
  <si>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</si>
  <si>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</si>
  <si>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</si>
  <si>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</si>
  <si>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</si>
  <si>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</si>
  <si>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</si>
  <si>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</si>
  <si>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</si>
  <si>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</si>
  <si>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</si>
  <si>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</si>
  <si>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</si>
  <si>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</si>
  <si>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</si>
  <si>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</si>
  <si>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</si>
  <si>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</si>
  <si>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</si>
  <si>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</si>
  <si>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</si>
  <si>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</si>
  <si>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</si>
  <si>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</si>
  <si>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</si>
  <si>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</si>
  <si>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</si>
  <si>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</si>
  <si>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</si>
  <si>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</si>
  <si>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</si>
  <si>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</si>
  <si>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</si>
  <si>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</si>
  <si>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</si>
  <si>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</si>
  <si>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</si>
  <si>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</si>
  <si>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</si>
  <si>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</si>
  <si>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</si>
  <si>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</si>
  <si>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</si>
  <si>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</si>
  <si>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</si>
  <si>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</si>
  <si>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</si>
  <si>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</si>
  <si>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</si>
  <si>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</si>
  <si>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</si>
  <si>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</si>
  <si>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</si>
  <si>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</si>
  <si>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</si>
  <si>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</si>
  <si>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</si>
  <si>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</si>
  <si>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</si>
  <si>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</si>
  <si>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</si>
  <si>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</si>
  <si>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</si>
  <si>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</si>
  <si>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</si>
  <si>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</si>
  <si>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</si>
  <si>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</si>
  <si>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</si>
  <si>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</si>
  <si>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</si>
  <si>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</si>
  <si>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</si>
  <si>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</si>
  <si>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</si>
  <si>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</si>
  <si>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</si>
  <si>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</si>
  <si>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</si>
  <si>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</si>
  <si>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</si>
  <si>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</si>
  <si>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</si>
  <si>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</si>
  <si>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</si>
  <si>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</si>
  <si>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</si>
  <si>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</si>
  <si>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</si>
  <si>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</si>
  <si>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</si>
  <si>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</si>
  <si>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</si>
  <si>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</si>
  <si>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</si>
  <si>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</si>
  <si>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</si>
  <si>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</si>
  <si>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</si>
  <si>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</si>
  <si>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</si>
  <si>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</si>
  <si>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</si>
  <si>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</si>
  <si>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</si>
  <si>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</si>
  <si>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</si>
  <si>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</si>
  <si>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</si>
  <si>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</si>
  <si>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</si>
  <si>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</si>
  <si>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</si>
  <si>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</si>
  <si>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</si>
  <si>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</si>
  <si>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</si>
  <si>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</si>
  <si>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</si>
  <si>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</si>
  <si>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</si>
  <si>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</si>
  <si>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</si>
  <si>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</si>
  <si>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</si>
  <si>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</si>
  <si>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</si>
  <si>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</si>
  <si>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</si>
  <si>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</si>
  <si>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</si>
  <si>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</si>
  <si>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</si>
  <si>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</si>
  <si>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</si>
  <si>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</si>
  <si>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</si>
  <si>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</si>
  <si>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</si>
  <si>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</si>
  <si>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</si>
  <si>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</si>
  <si>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</si>
  <si>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</si>
  <si>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</si>
  <si>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</si>
  <si>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</si>
  <si>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</si>
  <si>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</si>
  <si>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</si>
  <si>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</si>
  <si>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</si>
  <si>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</si>
  <si>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</si>
  <si>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</si>
  <si>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</si>
  <si>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</si>
  <si>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</si>
  <si>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</si>
  <si>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</si>
  <si>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</si>
  <si>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</si>
  <si>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</si>
  <si>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</si>
  <si>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</si>
  <si>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</si>
  <si>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</si>
  <si>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</si>
  <si>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</si>
  <si>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</si>
  <si>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</si>
  <si>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</si>
  <si>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</si>
  <si>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</si>
  <si>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</si>
  <si>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</si>
  <si>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</si>
  <si>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</si>
  <si>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</si>
  <si>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</si>
  <si>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</si>
  <si>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</si>
  <si>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</si>
  <si>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</si>
  <si>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</si>
  <si>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</si>
  <si>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</si>
  <si>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</si>
  <si>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</si>
  <si>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</si>
  <si>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</si>
  <si>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</si>
  <si>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</si>
  <si>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</si>
  <si>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</si>
  <si>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</si>
  <si>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</si>
  <si>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</si>
  <si>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</si>
  <si>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</si>
  <si>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</si>
  <si>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</si>
  <si>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</si>
  <si>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</si>
  <si>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</si>
  <si>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</si>
  <si>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</si>
  <si>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</si>
  <si>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</si>
  <si>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</si>
  <si>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</si>
  <si>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</si>
  <si>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</si>
  <si>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</si>
  <si>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</si>
  <si>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</si>
  <si>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</si>
  <si>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</si>
  <si>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</si>
  <si>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</si>
  <si>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</si>
  <si>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</si>
  <si>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</si>
  <si>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</si>
  <si>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</si>
  <si>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</si>
  <si>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</si>
  <si>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</si>
  <si>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</si>
  <si>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</si>
  <si>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</si>
  <si>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</si>
  <si>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</si>
  <si>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</si>
  <si>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</si>
  <si>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</si>
  <si>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</si>
  <si>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</si>
  <si>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</si>
  <si>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</si>
  <si>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</si>
  <si>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</si>
  <si>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</si>
  <si>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</si>
  <si>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</si>
  <si>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</si>
  <si>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</si>
  <si>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</si>
  <si>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</si>
  <si>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</si>
  <si>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</si>
  <si>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</si>
  <si>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</si>
  <si>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</si>
  <si>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</si>
  <si>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</si>
  <si>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</si>
  <si>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</si>
  <si>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</si>
  <si>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</si>
  <si>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</si>
  <si>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</si>
  <si>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</si>
  <si>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</si>
  <si>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</si>
  <si>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</si>
  <si>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</si>
  <si>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</si>
  <si>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</si>
  <si>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</si>
  <si>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</si>
  <si>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</si>
  <si>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</si>
  <si>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</si>
  <si>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</si>
  <si>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</si>
  <si>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</si>
  <si>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</si>
  <si>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</si>
  <si>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</si>
  <si>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</si>
  <si>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</si>
  <si>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</si>
  <si>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</si>
  <si>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</si>
  <si>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</si>
  <si>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</si>
  <si>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</si>
  <si>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</si>
  <si>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</si>
  <si>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</si>
  <si>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</si>
  <si>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</si>
  <si>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</si>
  <si>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</si>
  <si>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</si>
  <si>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</si>
  <si>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</si>
  <si>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</si>
  <si>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</si>
  <si>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</si>
  <si>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</si>
  <si>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</si>
  <si>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</si>
  <si>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</si>
  <si>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</si>
  <si>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</si>
  <si>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</si>
  <si>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</si>
  <si>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</si>
  <si>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</si>
  <si>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</si>
  <si>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</si>
  <si>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</si>
  <si>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</si>
  <si>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</si>
  <si>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</si>
  <si>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</si>
  <si>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</si>
  <si>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</si>
  <si>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</si>
  <si>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</si>
  <si>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</si>
  <si>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</si>
  <si>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</si>
  <si>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</si>
  <si>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</si>
  <si>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</si>
  <si>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</si>
  <si>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</si>
  <si>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</si>
  <si>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</si>
  <si>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</si>
  <si>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</si>
  <si>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</si>
  <si>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</si>
  <si>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</si>
  <si>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</si>
  <si>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</si>
  <si>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</si>
  <si>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</si>
  <si>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</si>
  <si>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</si>
  <si>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</si>
  <si>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</si>
  <si>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</si>
  <si>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</si>
  <si>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</si>
  <si>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</si>
  <si>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</si>
  <si>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</si>
  <si>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</si>
  <si>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</si>
  <si>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</si>
  <si>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</si>
  <si>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</si>
  <si>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</si>
  <si>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</si>
  <si>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</si>
  <si>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</si>
  <si>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</si>
  <si>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</si>
  <si>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</si>
  <si>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</si>
  <si>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</si>
  <si>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</si>
  <si>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</si>
  <si>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</si>
  <si>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</si>
  <si>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</si>
  <si>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</si>
  <si>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</si>
  <si>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</si>
  <si>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</si>
  <si>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</si>
  <si>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</si>
  <si>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</si>
  <si>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</si>
  <si>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</si>
  <si>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</si>
  <si>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</si>
  <si>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</si>
  <si>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</si>
  <si>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</si>
  <si>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</si>
  <si>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</si>
  <si>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</si>
  <si>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</si>
  <si>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</si>
  <si>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</si>
  <si>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</si>
  <si>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</si>
  <si>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</si>
  <si>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</si>
  <si>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</si>
  <si>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</si>
  <si>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</si>
  <si>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</si>
  <si>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</si>
  <si>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</si>
  <si>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</si>
  <si>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</si>
  <si>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</si>
  <si>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</si>
  <si>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</si>
  <si>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</si>
  <si>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</si>
  <si>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</si>
  <si>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</si>
  <si>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</si>
  <si>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</si>
  <si>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</si>
  <si>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</si>
  <si>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</si>
  <si>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</si>
  <si>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</si>
  <si>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</si>
  <si>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</si>
  <si>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</si>
  <si>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</si>
  <si>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</si>
  <si>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</si>
  <si>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</si>
  <si>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</si>
  <si>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</si>
  <si>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</si>
  <si>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</si>
  <si>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</si>
  <si>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</si>
  <si>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</si>
  <si>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</si>
  <si>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</si>
  <si>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</si>
  <si>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</si>
  <si>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</si>
  <si>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</si>
  <si>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</si>
  <si>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</si>
  <si>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</si>
  <si>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</si>
  <si>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</si>
  <si>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</si>
  <si>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</si>
  <si>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</si>
  <si>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</si>
  <si>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</si>
  <si>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</si>
  <si>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</si>
  <si>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</si>
  <si>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</si>
  <si>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</si>
  <si>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</si>
  <si>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</si>
  <si>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</si>
  <si>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</si>
  <si>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</si>
  <si>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</si>
  <si>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</si>
  <si>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</si>
  <si>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</si>
  <si>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</si>
  <si>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</si>
  <si>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</si>
  <si>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</si>
  <si>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</si>
  <si>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</si>
  <si>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</si>
  <si>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</si>
  <si>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</si>
  <si>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</si>
  <si>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</si>
  <si>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</si>
  <si>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</si>
  <si>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</si>
  <si>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</si>
  <si>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</si>
  <si>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</si>
  <si>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</si>
  <si>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</si>
  <si>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</si>
  <si>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</si>
  <si>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</si>
  <si>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</si>
  <si>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</si>
  <si>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</si>
  <si>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</si>
  <si>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</si>
  <si>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</si>
  <si>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</si>
  <si>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</si>
  <si>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</si>
  <si>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</si>
  <si>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</si>
  <si>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</si>
  <si>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</si>
  <si>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</si>
  <si>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</si>
  <si>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</si>
  <si>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</si>
  <si>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</si>
  <si>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</si>
  <si>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</si>
  <si>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</si>
  <si>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</si>
  <si>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</si>
  <si>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</si>
  <si>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</si>
  <si>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</si>
  <si>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</si>
  <si>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</si>
  <si>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</si>
  <si>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</si>
  <si>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</si>
  <si>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</si>
  <si>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</si>
  <si>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</si>
  <si>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</si>
  <si>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</si>
  <si>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</si>
  <si>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</si>
  <si>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</si>
  <si>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</si>
  <si>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</si>
  <si>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</si>
  <si>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</si>
  <si>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</si>
  <si>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</si>
  <si>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</si>
  <si>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</si>
  <si>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</si>
  <si>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</si>
  <si>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</si>
  <si>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</si>
  <si>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</si>
  <si>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</si>
  <si>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</si>
  <si>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</si>
  <si>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</si>
  <si>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</si>
  <si>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</si>
  <si>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</si>
  <si>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</si>
  <si>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</si>
  <si>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</si>
  <si>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</si>
  <si>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</si>
  <si>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</si>
  <si>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</si>
  <si>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</si>
  <si>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</si>
  <si>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</si>
  <si>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</si>
  <si>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</si>
  <si>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</si>
  <si>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</si>
  <si>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</si>
  <si>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</si>
  <si>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</si>
  <si>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</si>
  <si>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</si>
  <si>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</si>
  <si>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</si>
  <si>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</si>
  <si>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</si>
  <si>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</si>
  <si>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</si>
  <si>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</si>
  <si>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</si>
  <si>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</si>
  <si>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</si>
  <si>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</si>
  <si>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</si>
  <si>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</si>
  <si>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</si>
  <si>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</si>
  <si>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</si>
  <si>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</si>
  <si>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</si>
  <si>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</si>
  <si>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</si>
  <si>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</si>
  <si>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</si>
  <si>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</si>
  <si>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</si>
  <si>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</si>
  <si>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</si>
  <si>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</si>
  <si>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</si>
  <si>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</si>
  <si>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</si>
  <si>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</si>
  <si>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</si>
  <si>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</si>
  <si>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</si>
  <si>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</si>
  <si>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</si>
  <si>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</si>
  <si>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</si>
  <si>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</si>
  <si>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</si>
  <si>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</si>
  <si>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</si>
  <si>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</si>
  <si>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</si>
  <si>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</si>
  <si>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</si>
  <si>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</si>
  <si>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</si>
  <si>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</si>
  <si>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</si>
  <si>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</si>
  <si>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</si>
  <si>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</si>
  <si>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</si>
  <si>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</si>
  <si>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</si>
  <si>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</si>
  <si>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</si>
  <si>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</si>
  <si>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</si>
  <si>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</si>
  <si>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</si>
  <si>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</si>
  <si>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</si>
  <si>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</si>
  <si>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</si>
  <si>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</si>
  <si>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</si>
  <si>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</si>
  <si>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</si>
  <si>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</si>
  <si>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</si>
  <si>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</si>
  <si>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</si>
  <si>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</si>
  <si>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</si>
  <si>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</si>
  <si>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</si>
  <si>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</si>
  <si>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</si>
  <si>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</si>
  <si>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</si>
  <si>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</si>
  <si>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</si>
  <si>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</si>
  <si>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</si>
  <si>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</si>
  <si>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</si>
  <si>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</si>
  <si>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</si>
  <si>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</si>
  <si>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</si>
  <si>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</si>
  <si>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</si>
  <si>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</si>
  <si>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</si>
  <si>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</si>
  <si>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</si>
  <si>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</si>
  <si>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</si>
  <si>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</si>
  <si>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</si>
  <si>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</si>
  <si>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</si>
  <si>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</si>
  <si>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</si>
  <si>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</si>
  <si>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</si>
  <si>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</si>
  <si>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</si>
  <si>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</si>
  <si>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</si>
  <si>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</si>
  <si>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</si>
  <si>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</si>
  <si>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</si>
  <si>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</si>
  <si>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</si>
  <si>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</si>
  <si>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</si>
  <si>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</si>
  <si>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</si>
  <si>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</si>
  <si>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</si>
  <si>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</si>
  <si>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</si>
  <si>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</si>
  <si>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</si>
  <si>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</si>
  <si>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</si>
  <si>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</si>
  <si>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</si>
  <si>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</si>
  <si>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</si>
  <si>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</si>
  <si>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</si>
  <si>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</si>
  <si>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</si>
  <si>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</si>
  <si>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</si>
  <si>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</si>
  <si>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</si>
  <si>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</si>
  <si>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</si>
  <si>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</si>
  <si>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</si>
  <si>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</si>
  <si>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</si>
  <si>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</si>
  <si>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</si>
  <si>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</si>
  <si>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</si>
  <si>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</si>
  <si>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</si>
  <si>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</si>
  <si>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</si>
  <si>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</si>
  <si>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</si>
  <si>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</si>
  <si>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</si>
  <si>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</si>
  <si>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</si>
  <si>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</si>
  <si>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</si>
  <si>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</si>
  <si>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</si>
  <si>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</si>
  <si>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</si>
  <si>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</si>
  <si>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</si>
  <si>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</si>
  <si>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</si>
  <si>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</si>
  <si>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</si>
  <si>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</si>
  <si>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</si>
  <si>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</si>
  <si>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</si>
  <si>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</si>
  <si>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</si>
  <si>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</si>
  <si>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</si>
  <si>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</si>
  <si>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</si>
  <si>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</si>
  <si>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</si>
  <si>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</si>
  <si>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</si>
  <si>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</si>
  <si>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</si>
  <si>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</si>
  <si>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</si>
  <si>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</si>
  <si>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</si>
  <si>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</si>
  <si>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</si>
  <si>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</si>
  <si>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</si>
  <si>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</si>
  <si>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</si>
  <si>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</si>
  <si>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</si>
  <si>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</si>
  <si>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</si>
  <si>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</si>
  <si>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</si>
  <si>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</si>
  <si>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</si>
  <si>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</si>
  <si>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</si>
  <si>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</si>
  <si>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</si>
  <si>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</si>
  <si>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</si>
  <si>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</si>
  <si>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</si>
  <si>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</si>
  <si>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</si>
  <si>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</si>
  <si>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</si>
  <si>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</si>
  <si>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</si>
  <si>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</si>
  <si>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</si>
  <si>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</si>
  <si>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</si>
  <si>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</si>
  <si>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</si>
  <si>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</si>
  <si>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</si>
  <si>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</si>
  <si>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</si>
  <si>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</si>
  <si>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</si>
  <si>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</si>
  <si>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</si>
  <si>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</si>
  <si>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</si>
  <si>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</si>
  <si>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</si>
  <si>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</si>
  <si>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</si>
  <si>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</si>
  <si>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</si>
  <si>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</si>
  <si>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</si>
  <si>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</si>
  <si>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</si>
  <si>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</si>
  <si>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</si>
  <si>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</si>
  <si>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</si>
  <si>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</si>
  <si>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</si>
  <si>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</si>
  <si>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</si>
  <si>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</si>
  <si>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</si>
  <si>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</si>
  <si>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</si>
  <si>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</si>
  <si>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</si>
  <si>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</si>
  <si>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</si>
  <si>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</si>
  <si>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</si>
  <si>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</si>
  <si>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</si>
  <si>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</si>
  <si>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</si>
  <si>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</si>
  <si>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</si>
  <si>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</si>
  <si>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</si>
  <si>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</si>
  <si>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</si>
  <si>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</si>
  <si>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</si>
  <si>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</si>
  <si>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</si>
  <si>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</si>
  <si>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</si>
  <si>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</si>
  <si>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</si>
  <si>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</si>
  <si>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</si>
  <si>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</si>
  <si>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</si>
  <si>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</si>
  <si>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</si>
  <si>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</si>
  <si>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</si>
  <si>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</si>
  <si>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</si>
  <si>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</si>
  <si>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</si>
  <si>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</si>
  <si>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</si>
  <si>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</si>
  <si>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</si>
  <si>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</si>
  <si>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</si>
  <si>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</si>
  <si>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</si>
  <si>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</si>
  <si>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</si>
  <si>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</si>
  <si>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</si>
  <si>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</si>
  <si>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</si>
  <si>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</si>
  <si>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</si>
  <si>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</si>
  <si>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</si>
  <si>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</si>
  <si>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</si>
  <si>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</si>
  <si>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</si>
  <si>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</si>
  <si>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</si>
  <si>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</si>
  <si>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</si>
  <si>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</si>
  <si>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</si>
  <si>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</si>
  <si>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</si>
  <si>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</si>
  <si>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</si>
  <si>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</si>
  <si>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</si>
  <si>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</si>
  <si>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</si>
  <si>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</si>
  <si>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</si>
  <si>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</si>
  <si>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</si>
  <si>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</si>
  <si>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</si>
  <si>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</si>
  <si>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</si>
  <si>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</si>
  <si>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</si>
  <si>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</si>
  <si>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</si>
  <si>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</si>
  <si>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</si>
  <si>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</si>
  <si>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</si>
  <si>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</si>
  <si>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</si>
  <si>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</si>
  <si>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</si>
  <si>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</si>
  <si>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</si>
  <si>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</si>
  <si>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</si>
  <si>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</si>
  <si>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</si>
  <si>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</si>
  <si>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</si>
  <si>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</si>
  <si>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</si>
  <si>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</si>
  <si>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</si>
  <si>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</si>
  <si>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</si>
  <si>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</si>
  <si>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</si>
  <si>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</si>
  <si>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</si>
  <si>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</si>
  <si>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</si>
  <si>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</si>
  <si>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</si>
  <si>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</si>
  <si>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</si>
  <si>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</si>
  <si>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</si>
  <si>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</si>
  <si>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</si>
  <si>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</si>
  <si>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</si>
  <si>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</si>
  <si>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</si>
  <si>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</si>
  <si>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</si>
  <si>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</si>
  <si>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</si>
  <si>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</si>
  <si>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</si>
  <si>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</si>
  <si>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</si>
  <si>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</si>
  <si>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</si>
  <si>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</si>
  <si>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</si>
  <si>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</si>
  <si>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</si>
  <si>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</si>
  <si>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</si>
  <si>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</si>
  <si>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</si>
  <si>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</si>
  <si>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</si>
  <si>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</si>
  <si>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</si>
  <si>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</si>
  <si>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</si>
  <si>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</si>
  <si>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</si>
  <si>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</si>
  <si>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</si>
  <si>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</si>
  <si>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</si>
  <si>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</si>
  <si>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</si>
  <si>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</si>
  <si>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</si>
  <si>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</si>
  <si>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</si>
  <si>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</si>
  <si>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</si>
  <si>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</si>
  <si>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</si>
  <si>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</si>
  <si>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</si>
  <si>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</si>
  <si>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</si>
  <si>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</si>
  <si>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</si>
  <si>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</si>
  <si>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</si>
  <si>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</si>
  <si>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</si>
  <si>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</si>
  <si>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</si>
  <si>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</si>
  <si>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</si>
  <si>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</si>
  <si>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</si>
  <si>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</si>
  <si>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</si>
  <si>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</si>
  <si>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</si>
  <si>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</si>
  <si>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</si>
  <si>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</si>
  <si>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</si>
  <si>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</si>
  <si>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</si>
  <si>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</si>
  <si>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</si>
  <si>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</si>
  <si>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</si>
  <si>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</si>
  <si>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</si>
  <si>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</si>
  <si>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</si>
  <si>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</si>
  <si>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</si>
  <si>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</si>
  <si>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</si>
  <si>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</si>
  <si>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</si>
  <si>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</si>
  <si>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</si>
  <si>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</si>
  <si>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</si>
  <si>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</si>
  <si>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</si>
  <si>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</si>
  <si>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</si>
  <si>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</si>
  <si>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</si>
  <si>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</si>
  <si>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</si>
  <si>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</si>
  <si>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</si>
  <si>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</si>
  <si>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</si>
  <si>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</si>
  <si>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</si>
  <si>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</si>
  <si>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</si>
  <si>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</si>
  <si>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</si>
  <si>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</si>
  <si>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</si>
  <si>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</si>
  <si>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</si>
  <si>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</si>
  <si>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</si>
  <si>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</si>
  <si>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</si>
  <si>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</si>
  <si>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</si>
  <si>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</si>
  <si>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</si>
  <si>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</si>
  <si>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</si>
  <si>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</si>
  <si>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</si>
  <si>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</si>
  <si>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</si>
  <si>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</si>
  <si>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</si>
  <si>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</si>
  <si>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</si>
  <si>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</si>
  <si>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</si>
  <si>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</si>
  <si>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</si>
  <si>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</si>
  <si>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</si>
  <si>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</si>
  <si>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</si>
  <si>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</si>
  <si>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</si>
  <si>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</si>
  <si>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</si>
  <si>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</si>
  <si>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</si>
  <si>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</si>
  <si>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</si>
  <si>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</si>
  <si>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</si>
  <si>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</si>
  <si>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</si>
  <si>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</si>
  <si>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</si>
  <si>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</si>
  <si>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</si>
  <si>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</si>
  <si>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</si>
  <si>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</si>
  <si>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</si>
  <si>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</si>
  <si>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</si>
  <si>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</si>
  <si>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</si>
  <si>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</si>
  <si>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</si>
  <si>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</si>
  <si>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</si>
  <si>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</si>
  <si>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</si>
  <si>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</si>
  <si>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</si>
  <si>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</si>
  <si>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</si>
  <si>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</si>
  <si>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</si>
  <si>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</si>
  <si>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</si>
  <si>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</si>
  <si>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</si>
  <si>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</si>
  <si>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</si>
  <si>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</si>
  <si>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</si>
  <si>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</si>
  <si>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</si>
  <si>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</si>
  <si>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</si>
  <si>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</si>
  <si>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</si>
  <si>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</si>
  <si>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</si>
  <si>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</si>
  <si>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</si>
  <si>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</si>
  <si>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</si>
  <si>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</si>
  <si>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</si>
  <si>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</si>
  <si>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</si>
  <si>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</si>
  <si>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</si>
  <si>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</si>
  <si>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</si>
  <si>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</si>
  <si>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</si>
  <si>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</si>
  <si>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</si>
  <si>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</si>
  <si>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</si>
  <si>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</si>
  <si>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</si>
  <si>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</si>
  <si>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</si>
  <si>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</si>
  <si>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</si>
  <si>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</si>
  <si>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</si>
  <si>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</si>
  <si>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</si>
  <si>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</si>
  <si>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</si>
  <si>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</si>
  <si>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</si>
  <si>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</si>
  <si>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</si>
  <si>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</si>
  <si>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</si>
  <si>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</si>
  <si>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</si>
  <si>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</si>
  <si>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</si>
  <si>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</si>
  <si>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</si>
  <si>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</si>
  <si>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</si>
  <si>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</si>
  <si>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</si>
  <si>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</si>
  <si>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</si>
  <si>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</si>
  <si>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</si>
  <si>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</si>
  <si>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</si>
  <si>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</si>
  <si>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</si>
  <si>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</si>
  <si>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</si>
  <si>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</si>
  <si>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</si>
  <si>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</si>
  <si>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</si>
  <si>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</si>
  <si>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</si>
  <si>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</si>
  <si>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</si>
  <si>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</si>
  <si>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</si>
  <si>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</si>
  <si>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</si>
  <si>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</si>
  <si>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</si>
  <si>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</si>
  <si>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</si>
  <si>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</si>
  <si>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</si>
  <si>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</si>
  <si>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</si>
  <si>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</si>
  <si>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</si>
  <si>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</si>
  <si>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</si>
  <si>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</si>
  <si>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</si>
  <si>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</si>
  <si>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</si>
  <si>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</si>
  <si>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</si>
  <si>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</si>
  <si>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</si>
  <si>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</si>
  <si>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</si>
  <si>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</si>
  <si>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</si>
  <si>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</si>
  <si>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</si>
  <si>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</si>
  <si>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</si>
  <si>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</si>
  <si>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</si>
  <si>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</si>
  <si>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</si>
  <si>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</si>
  <si>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</si>
  <si>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</si>
  <si>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</si>
  <si>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</si>
  <si>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</si>
  <si>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</si>
  <si>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</si>
  <si>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</si>
  <si>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</si>
  <si>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</si>
  <si>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</si>
  <si>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</si>
  <si>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</si>
  <si>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</si>
  <si>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</si>
  <si>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</si>
  <si>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</si>
  <si>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</si>
  <si>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</si>
  <si>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</si>
  <si>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</si>
  <si>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</si>
  <si>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</si>
  <si>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</si>
  <si>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</si>
  <si>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</si>
  <si>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</si>
  <si>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</si>
  <si>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</si>
  <si>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</si>
  <si>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</si>
  <si>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</si>
  <si>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</si>
  <si>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</si>
  <si>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</si>
  <si>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</si>
  <si>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</si>
  <si>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</si>
  <si>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</si>
  <si>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</si>
  <si>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</si>
  <si>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</si>
  <si>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</si>
  <si>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</si>
  <si>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</si>
  <si>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</si>
  <si>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</si>
  <si>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</si>
  <si>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</si>
  <si>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</si>
  <si>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</si>
  <si>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</si>
  <si>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</si>
  <si>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</si>
  <si>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</si>
  <si>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</si>
  <si>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</si>
  <si>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</si>
  <si>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</si>
  <si>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</si>
  <si>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</si>
  <si>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</si>
  <si>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</si>
  <si>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</si>
  <si>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</si>
  <si>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</si>
  <si>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</si>
  <si>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</si>
  <si>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</si>
  <si>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</si>
  <si>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</si>
  <si>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</si>
  <si>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</si>
  <si>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</si>
  <si>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</si>
  <si>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</si>
  <si>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</si>
  <si>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</si>
  <si>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</si>
  <si>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</si>
  <si>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</si>
  <si>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</si>
  <si>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</si>
  <si>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</si>
  <si>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</si>
  <si>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</si>
  <si>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</si>
  <si>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</si>
  <si>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</si>
  <si>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</si>
  <si>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</si>
  <si>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</si>
  <si>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</si>
  <si>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</si>
  <si>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</si>
  <si>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</si>
  <si>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</si>
  <si>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</si>
  <si>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</si>
  <si>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</si>
  <si>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</si>
  <si>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</si>
  <si>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</si>
  <si>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</si>
  <si>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</si>
  <si>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</si>
  <si>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</si>
  <si>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</si>
  <si>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</si>
  <si>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</si>
  <si>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</si>
  <si>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</si>
  <si>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</si>
  <si>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</si>
  <si>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</si>
  <si>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</si>
  <si>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</si>
  <si>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</si>
  <si>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</si>
  <si>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</si>
  <si>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</si>
  <si>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</si>
  <si>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</si>
  <si>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</si>
  <si>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</si>
  <si>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</si>
  <si>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</si>
  <si>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</si>
  <si>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</si>
  <si>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</si>
  <si>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</si>
  <si>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</si>
  <si>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</si>
  <si>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</si>
  <si>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</si>
  <si>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</si>
  <si>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</si>
  <si>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</si>
  <si>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</si>
  <si>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</si>
  <si>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</si>
  <si>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</si>
  <si>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</si>
  <si>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</si>
  <si>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</si>
  <si>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</si>
  <si>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</si>
  <si>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</si>
  <si>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</si>
  <si>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</si>
  <si>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</si>
  <si>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</si>
  <si>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</si>
  <si>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</si>
  <si>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</si>
  <si>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</si>
  <si>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</si>
  <si>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</si>
  <si>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</si>
  <si>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</si>
  <si>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</si>
  <si>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</si>
  <si>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</si>
  <si>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</si>
  <si>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</si>
  <si>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</si>
  <si>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</si>
  <si>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</si>
  <si>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</si>
  <si>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</si>
  <si>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</si>
  <si>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</si>
  <si>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</si>
  <si>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</si>
  <si>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</si>
  <si>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</si>
  <si>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</si>
  <si>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</si>
  <si>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</si>
  <si>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</si>
  <si>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</si>
  <si>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</si>
  <si>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</si>
  <si>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</si>
  <si>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</si>
  <si>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</si>
  <si>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</si>
  <si>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</si>
  <si>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</si>
  <si>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</si>
  <si>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</si>
  <si>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</si>
  <si>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</si>
  <si>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</si>
  <si>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</si>
  <si>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</si>
  <si>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</si>
  <si>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</si>
  <si>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</si>
  <si>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</si>
  <si>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</si>
  <si>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</si>
  <si>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</si>
  <si>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</si>
  <si>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</si>
  <si>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</si>
  <si>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</si>
  <si>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</si>
  <si>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</si>
  <si>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</si>
  <si>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</si>
  <si>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</si>
  <si>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</si>
  <si>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</si>
  <si>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</si>
  <si>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</si>
  <si>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</si>
  <si>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</si>
  <si>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</si>
  <si>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</si>
  <si>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</si>
  <si>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</si>
  <si>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</si>
  <si>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</si>
  <si>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</si>
  <si>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</si>
  <si>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</si>
  <si>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</si>
  <si>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</si>
  <si>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</si>
  <si>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</si>
  <si>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</si>
  <si>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</si>
  <si>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</si>
  <si>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</si>
  <si>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</si>
  <si>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</si>
  <si>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</si>
  <si>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</si>
  <si>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</si>
  <si>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</si>
  <si>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</si>
  <si>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</si>
  <si>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</si>
  <si>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</si>
  <si>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</si>
  <si>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</si>
  <si>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</si>
  <si>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</si>
  <si>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</si>
  <si>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</si>
  <si>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</si>
  <si>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</si>
  <si>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</si>
  <si>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</si>
  <si>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</si>
  <si>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</si>
  <si>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</si>
  <si>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</si>
  <si>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</si>
  <si>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</si>
  <si>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</si>
  <si>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</si>
  <si>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</si>
  <si>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</si>
  <si>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</si>
  <si>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</si>
  <si>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</si>
  <si>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</si>
  <si>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</si>
  <si>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</si>
  <si>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</si>
  <si>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</si>
  <si>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</si>
  <si>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</si>
  <si>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</si>
  <si>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</si>
  <si>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</si>
  <si>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</si>
  <si>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</si>
  <si>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</si>
  <si>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</si>
  <si>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</si>
  <si>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</si>
  <si>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</si>
  <si>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</si>
  <si>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</si>
  <si>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</si>
  <si>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</si>
  <si>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</si>
  <si>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</si>
  <si>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</si>
  <si>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</si>
  <si>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</si>
  <si>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</si>
  <si>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</si>
  <si>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</si>
  <si>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</si>
  <si>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</si>
  <si>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</si>
  <si>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</si>
  <si>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</si>
  <si>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</si>
  <si>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</si>
  <si>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</si>
  <si>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</si>
  <si>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</si>
  <si>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</si>
  <si>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</si>
  <si>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</si>
  <si>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</si>
  <si>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</si>
  <si>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</si>
  <si>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</si>
  <si>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</si>
  <si>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</si>
  <si>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</si>
  <si>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</si>
  <si>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</si>
  <si>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</si>
  <si>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</si>
  <si>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</si>
  <si>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</si>
  <si>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</si>
  <si>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</si>
  <si>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</si>
  <si>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</si>
  <si>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</si>
  <si>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</si>
  <si>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</si>
  <si>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</si>
  <si>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</si>
  <si>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</si>
  <si>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</si>
  <si>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</si>
  <si>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</si>
  <si>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</si>
  <si>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</si>
  <si>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</si>
  <si>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</si>
  <si>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</si>
  <si>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</si>
  <si>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</si>
  <si>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</si>
  <si>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</si>
  <si>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</si>
  <si>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</si>
  <si>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</si>
  <si>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</si>
  <si>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</si>
  <si>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</si>
  <si>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</si>
  <si>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</si>
  <si>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</si>
  <si>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</si>
  <si>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</si>
  <si>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</si>
  <si>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</si>
  <si>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</si>
  <si>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</si>
  <si>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</si>
  <si>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</si>
  <si>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</si>
  <si>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</si>
  <si>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</si>
  <si>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</si>
  <si>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</si>
  <si>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</si>
  <si>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</si>
  <si>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</si>
  <si>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</si>
  <si>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</si>
  <si>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</si>
  <si>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</si>
  <si>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</si>
  <si>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</si>
  <si>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</si>
  <si>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</si>
  <si>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</si>
  <si>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</si>
  <si>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</si>
  <si>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</si>
  <si>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</si>
  <si>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</si>
  <si>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</si>
  <si>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</si>
  <si>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</si>
  <si>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</si>
  <si>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</si>
  <si>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</si>
  <si>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</si>
  <si>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</si>
  <si>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</si>
  <si>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</si>
  <si>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</si>
  <si>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</si>
  <si>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</si>
  <si>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</si>
  <si>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</si>
  <si>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</si>
  <si>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</si>
  <si>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</si>
  <si>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</si>
  <si>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</si>
  <si>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</si>
  <si>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</si>
  <si>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</si>
  <si>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</si>
  <si>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</si>
  <si>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</si>
  <si>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</si>
  <si>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</si>
  <si>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</si>
  <si>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</si>
  <si>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</si>
  <si>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</si>
  <si>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</si>
  <si>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</si>
  <si>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</si>
  <si>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</si>
  <si>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</si>
  <si>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</si>
  <si>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</si>
  <si>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</si>
  <si>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</si>
  <si>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</si>
  <si>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</si>
  <si>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</si>
  <si>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</si>
  <si>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</si>
  <si>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</si>
  <si>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</si>
  <si>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</si>
  <si>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</si>
  <si>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</si>
  <si>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</si>
  <si>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</si>
  <si>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</si>
  <si>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</si>
  <si>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</si>
  <si>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</si>
  <si>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</si>
  <si>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</si>
  <si>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</si>
  <si>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</si>
  <si>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</si>
  <si>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</si>
  <si>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</si>
  <si>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</si>
  <si>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</si>
  <si>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</si>
  <si>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</si>
  <si>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</si>
  <si>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</si>
  <si>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</si>
  <si>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</si>
  <si>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</si>
  <si>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</si>
  <si>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</si>
  <si>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</si>
  <si>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</si>
  <si>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</si>
  <si>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</si>
  <si>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</si>
  <si>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</si>
  <si>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</si>
  <si>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</si>
  <si>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</si>
  <si>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</si>
  <si>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</si>
  <si>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</si>
  <si>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</si>
  <si>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</si>
  <si>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</si>
  <si>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</si>
  <si>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</si>
  <si>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</si>
  <si>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</si>
  <si>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</si>
  <si>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</si>
  <si>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</si>
  <si>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</si>
  <si>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</si>
  <si>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</si>
  <si>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</si>
  <si>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</si>
  <si>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</si>
  <si>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</si>
  <si>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</si>
  <si>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</si>
  <si>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</si>
  <si>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</si>
  <si>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</si>
  <si>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</si>
  <si>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</si>
  <si>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</si>
  <si>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</si>
  <si>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</si>
  <si>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</si>
  <si>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</si>
  <si>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</si>
  <si>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</si>
  <si>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</si>
  <si>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</si>
  <si>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</si>
  <si>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</si>
  <si>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</si>
  <si>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</si>
  <si>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</si>
  <si>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</si>
  <si>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</si>
  <si>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</si>
  <si>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</si>
  <si>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</si>
  <si>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</si>
  <si>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</si>
  <si>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</si>
  <si>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</si>
  <si>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</si>
  <si>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</si>
  <si>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</si>
  <si>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</si>
  <si>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</si>
  <si>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</si>
  <si>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</si>
  <si>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</si>
  <si>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</si>
  <si>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</si>
  <si>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</si>
  <si>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</si>
  <si>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</si>
  <si>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</si>
  <si>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</si>
  <si>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</si>
  <si>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</si>
  <si>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</si>
  <si>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</si>
  <si>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</si>
  <si>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</si>
  <si>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</si>
  <si>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</si>
  <si>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</si>
  <si>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</si>
  <si>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</si>
  <si>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</si>
  <si>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</si>
  <si>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</si>
  <si>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</si>
  <si>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</si>
  <si>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</si>
  <si>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</si>
  <si>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</si>
  <si>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</si>
  <si>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</si>
  <si>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</si>
  <si>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</si>
  <si>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</si>
  <si>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</si>
  <si>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</si>
  <si>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</si>
  <si>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</si>
  <si>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</si>
  <si>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</si>
  <si>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</si>
  <si>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</si>
  <si>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</si>
  <si>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</si>
  <si>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</si>
  <si>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</si>
  <si>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</si>
  <si>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</si>
  <si>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</si>
  <si>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</si>
  <si>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</si>
  <si>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</si>
  <si>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</si>
  <si>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</si>
  <si>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</si>
  <si>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</si>
  <si>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</si>
  <si>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</si>
  <si>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</si>
  <si>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</si>
  <si>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</si>
  <si>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</si>
  <si>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</si>
  <si>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</si>
  <si>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</si>
  <si>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</si>
  <si>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</si>
  <si>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</si>
  <si>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</si>
  <si>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</si>
  <si>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</si>
  <si>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</si>
  <si>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</si>
  <si>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</si>
  <si>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</si>
  <si>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</si>
  <si>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</si>
  <si>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</si>
  <si>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</si>
  <si>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</si>
  <si>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</si>
  <si>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</si>
  <si>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</si>
  <si>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</si>
  <si>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</si>
  <si>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</si>
  <si>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</si>
  <si>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</si>
  <si>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</si>
  <si>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</si>
  <si>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</si>
  <si>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</si>
  <si>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</si>
  <si>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</si>
  <si>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</si>
  <si>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</si>
  <si>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</si>
  <si>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</si>
  <si>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</si>
  <si>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</si>
  <si>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</si>
  <si>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</si>
  <si>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</si>
  <si>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</si>
  <si>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</si>
  <si>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</si>
  <si>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</si>
  <si>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</si>
  <si>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</si>
  <si>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</si>
  <si>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</si>
  <si>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</si>
  <si>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</si>
  <si>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</si>
  <si>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</si>
  <si>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</si>
  <si>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</si>
  <si>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</si>
  <si>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</si>
  <si>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</si>
  <si>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</si>
  <si>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</si>
  <si>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</si>
  <si>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</si>
  <si>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</si>
  <si>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</si>
  <si>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</si>
  <si>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</si>
  <si>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</si>
  <si>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</si>
  <si>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</si>
  <si>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</si>
  <si>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</si>
  <si>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</si>
  <si>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</si>
  <si>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</si>
  <si>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</si>
  <si>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</si>
  <si>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</si>
  <si>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</si>
  <si>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</si>
  <si>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</si>
  <si>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</si>
  <si>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</si>
  <si>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</si>
  <si>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</si>
  <si>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</si>
  <si>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</si>
  <si>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</si>
  <si>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</si>
  <si>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</si>
  <si>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</si>
  <si>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</si>
  <si>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</si>
  <si>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</si>
  <si>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</si>
  <si>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</si>
  <si>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</si>
  <si>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</si>
  <si>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</si>
  <si>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</si>
  <si>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</si>
  <si>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</si>
  <si>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</si>
  <si>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</si>
  <si>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</si>
  <si>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</si>
  <si>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</si>
  <si>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</si>
  <si>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</si>
  <si>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</si>
  <si>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</si>
  <si>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</si>
  <si>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</si>
  <si>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</si>
  <si>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</si>
  <si>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</si>
  <si>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</si>
  <si>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</si>
  <si>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</si>
  <si>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</si>
  <si>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</si>
  <si>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</si>
  <si>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</si>
  <si>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</si>
  <si>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</si>
  <si>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</si>
  <si>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</si>
  <si>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</si>
  <si>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</si>
  <si>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</si>
  <si>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</si>
  <si>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</si>
  <si>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</si>
  <si>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</si>
  <si>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</si>
  <si>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</si>
  <si>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</si>
  <si>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</si>
  <si>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</si>
  <si>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</si>
  <si>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</si>
  <si>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</si>
  <si>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</si>
  <si>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</si>
  <si>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</si>
  <si>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</si>
  <si>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</si>
  <si>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</si>
  <si>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</si>
  <si>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</si>
  <si>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</si>
  <si>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</si>
  <si>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</si>
  <si>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</si>
  <si>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</si>
  <si>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</si>
  <si>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</si>
  <si>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</si>
  <si>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</si>
  <si>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</si>
  <si>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</si>
  <si>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</si>
  <si>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</si>
  <si>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</si>
  <si>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</si>
  <si>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</si>
  <si>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</si>
  <si>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</si>
  <si>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</si>
  <si>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</si>
  <si>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</si>
  <si>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</si>
  <si>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</si>
  <si>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</si>
  <si>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</si>
  <si>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</si>
  <si>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</si>
  <si>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</si>
  <si>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</si>
  <si>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</si>
  <si>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</si>
  <si>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</si>
  <si>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</si>
  <si>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</si>
  <si>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</si>
  <si>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</si>
  <si>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</si>
  <si>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</si>
  <si>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</si>
  <si>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</si>
  <si>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</si>
  <si>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</si>
  <si>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</si>
  <si>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</si>
  <si>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</si>
  <si>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</si>
  <si>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</si>
  <si>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</si>
  <si>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</si>
  <si>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</si>
  <si>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</si>
  <si>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</si>
  <si>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</si>
  <si>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</si>
  <si>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</si>
  <si>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</si>
  <si>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</si>
  <si>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</si>
  <si>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</si>
  <si>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</si>
  <si>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</si>
  <si>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</si>
  <si>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</si>
  <si>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</si>
  <si>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</si>
  <si>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</si>
  <si>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</si>
  <si>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</si>
  <si>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</si>
  <si>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</si>
  <si>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</si>
  <si>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</si>
  <si>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</si>
  <si>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</si>
  <si>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</si>
  <si>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</si>
  <si>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</si>
  <si>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</si>
  <si>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</si>
  <si>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</si>
  <si>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</si>
  <si>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</si>
  <si>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</si>
  <si>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</si>
  <si>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</si>
  <si>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</si>
  <si>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</si>
  <si>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</si>
  <si>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</si>
  <si>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</si>
  <si>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</si>
  <si>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</si>
  <si>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</si>
  <si>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</si>
  <si>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</si>
  <si>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</si>
  <si>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</si>
  <si>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</si>
  <si>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</si>
  <si>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</si>
  <si>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</si>
  <si>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</si>
  <si>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</si>
  <si>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</si>
  <si>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</si>
  <si>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</si>
  <si>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</si>
  <si>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</si>
  <si>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</si>
  <si>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</si>
  <si>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</si>
  <si>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</si>
  <si>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</si>
  <si>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</si>
  <si>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</si>
  <si>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</si>
  <si>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</si>
  <si>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</si>
  <si>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</si>
  <si>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</si>
  <si>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</si>
  <si>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</si>
  <si>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</si>
  <si>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</si>
  <si>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</si>
  <si>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</si>
  <si>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</si>
  <si>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</si>
  <si>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</si>
  <si>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</si>
  <si>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</si>
  <si>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</si>
  <si>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</si>
  <si>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</si>
  <si>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</si>
  <si>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</si>
  <si>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</si>
  <si>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</si>
  <si>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</si>
  <si>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</si>
  <si>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</si>
  <si>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</si>
  <si>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</si>
  <si>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</si>
  <si>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</si>
  <si>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</si>
  <si>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</si>
  <si>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</si>
  <si>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</si>
  <si>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</si>
  <si>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</si>
  <si>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</si>
  <si>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</si>
  <si>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</si>
  <si>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</si>
  <si>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</si>
  <si>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</si>
  <si>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</si>
  <si>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</si>
  <si>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</si>
  <si>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</si>
  <si>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</si>
  <si>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</si>
  <si>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</si>
  <si>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</si>
  <si>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</si>
  <si>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</si>
  <si>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</si>
  <si>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</si>
  <si>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</si>
  <si>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</si>
  <si>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</si>
  <si>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</si>
  <si>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</si>
  <si>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</si>
  <si>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</si>
  <si>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</si>
  <si>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</si>
  <si>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</si>
  <si>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</si>
  <si>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</si>
  <si>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</si>
  <si>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</si>
  <si>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</si>
  <si>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</si>
  <si>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</si>
  <si>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</si>
  <si>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</si>
  <si>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</si>
  <si>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</si>
  <si>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</si>
  <si>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</si>
  <si>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</si>
  <si>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</si>
  <si>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</si>
  <si>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</si>
  <si>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</si>
  <si>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</si>
  <si>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</si>
  <si>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</si>
  <si>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</si>
  <si>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</si>
  <si>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</si>
  <si>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</si>
  <si>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</si>
  <si>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</si>
  <si>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</si>
  <si>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</si>
  <si>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</si>
  <si>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</si>
  <si>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</si>
  <si>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</si>
  <si>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</si>
  <si>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</si>
  <si>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</si>
  <si>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</si>
  <si>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</si>
  <si>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</si>
  <si>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</si>
  <si>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</si>
  <si>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</si>
  <si>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</si>
  <si>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</si>
  <si>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</si>
  <si>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</si>
  <si>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</si>
  <si>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</si>
  <si>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</si>
  <si>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</si>
  <si>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</si>
  <si>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</si>
  <si>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</si>
  <si>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</si>
  <si>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</si>
  <si>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</si>
  <si>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</si>
  <si>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</si>
  <si>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</si>
  <si>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</si>
  <si>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</si>
  <si>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</si>
  <si>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</si>
  <si>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</si>
  <si>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</si>
  <si>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</si>
  <si>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</si>
  <si>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</si>
  <si>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</si>
  <si>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</si>
  <si>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</si>
  <si>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</si>
  <si>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</si>
  <si>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</si>
  <si>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</si>
  <si>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</si>
  <si>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</si>
  <si>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</si>
  <si>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</si>
  <si>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</si>
  <si>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</si>
  <si>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</si>
  <si>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</si>
  <si>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</si>
  <si>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</si>
  <si>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</si>
  <si>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</si>
  <si>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</si>
  <si>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</si>
  <si>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</si>
  <si>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</si>
  <si>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</si>
  <si>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</si>
  <si>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</si>
  <si>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</si>
  <si>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</si>
  <si>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</si>
  <si>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</si>
  <si>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</si>
  <si>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</si>
  <si>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</si>
  <si>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</si>
  <si>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</si>
  <si>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</si>
  <si>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</si>
  <si>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</si>
  <si>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</si>
  <si>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</si>
  <si>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</si>
  <si>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</si>
  <si>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</si>
  <si>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</si>
  <si>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</si>
  <si>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</si>
  <si>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</si>
  <si>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</si>
  <si>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</si>
  <si>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</si>
  <si>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</si>
  <si>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</si>
  <si>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</si>
  <si>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</si>
  <si>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</si>
  <si>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</si>
  <si>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</si>
  <si>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</si>
  <si>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</si>
  <si>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</si>
  <si>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</si>
  <si>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</si>
  <si>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</si>
  <si>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</si>
  <si>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</si>
  <si>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</si>
  <si>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</si>
  <si>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</si>
  <si>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</si>
  <si>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</si>
  <si>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</si>
  <si>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</si>
  <si>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</si>
  <si>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</si>
  <si>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</si>
  <si>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</si>
  <si>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</si>
  <si>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</si>
  <si>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</si>
  <si>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</si>
  <si>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</si>
  <si>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</si>
  <si>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</si>
  <si>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</si>
  <si>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</si>
  <si>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</si>
  <si>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</si>
  <si>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</si>
  <si>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</si>
  <si>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</si>
  <si>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</si>
  <si>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</si>
  <si>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</si>
  <si>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</si>
  <si>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</si>
  <si>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</si>
  <si>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</si>
  <si>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</si>
  <si>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</si>
  <si>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</si>
  <si>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</si>
  <si>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</si>
  <si>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</si>
  <si>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</si>
  <si>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</si>
  <si>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</si>
  <si>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</si>
  <si>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</si>
  <si>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</si>
  <si>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</si>
  <si>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</si>
  <si>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</si>
  <si>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</si>
  <si>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</si>
  <si>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</si>
  <si>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</si>
  <si>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</si>
  <si>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</si>
  <si>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</si>
  <si>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</si>
  <si>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</si>
  <si>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</si>
  <si>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</si>
  <si>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</si>
  <si>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</si>
  <si>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</si>
  <si>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</si>
  <si>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</si>
  <si>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</si>
  <si>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</si>
  <si>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</si>
  <si>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</si>
  <si>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</si>
  <si>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</si>
  <si>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</si>
  <si>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</si>
  <si>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</si>
  <si>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</si>
  <si>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</si>
  <si>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</si>
  <si>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</si>
  <si>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</si>
  <si>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</si>
  <si>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</si>
  <si>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</si>
  <si>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</si>
  <si>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</si>
  <si>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</si>
  <si>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</si>
  <si>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</si>
  <si>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</si>
  <si>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</si>
  <si>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</si>
  <si>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</si>
  <si>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</si>
  <si>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</si>
  <si>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</si>
  <si>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</si>
  <si>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</si>
  <si>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</si>
  <si>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</si>
  <si>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</si>
  <si>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</si>
  <si>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</si>
  <si>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</si>
  <si>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</si>
  <si>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</si>
  <si>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</si>
  <si>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</si>
  <si>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</si>
  <si>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</si>
  <si>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</si>
  <si>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</si>
  <si>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</si>
  <si>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</si>
  <si>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</si>
  <si>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</si>
  <si>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</si>
  <si>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</si>
  <si>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</si>
  <si>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</si>
  <si>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</si>
  <si>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</si>
  <si>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</si>
  <si>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</si>
  <si>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</si>
  <si>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</si>
  <si>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</si>
  <si>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</si>
  <si>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</si>
  <si>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</si>
  <si>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</si>
  <si>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</si>
  <si>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</si>
  <si>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</si>
  <si>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</si>
  <si>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</si>
  <si>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</si>
  <si>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</si>
  <si>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</si>
  <si>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</si>
  <si>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</si>
  <si>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</si>
  <si>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</si>
  <si>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</si>
  <si>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</si>
  <si>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</si>
  <si>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</si>
  <si>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</si>
  <si>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</si>
  <si>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</si>
  <si>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</si>
  <si>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</si>
  <si>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</si>
  <si>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</si>
  <si>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</si>
  <si>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</si>
  <si>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</si>
  <si>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</si>
  <si>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</si>
  <si>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</si>
  <si>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</si>
  <si>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</si>
  <si>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</si>
  <si>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</si>
  <si>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</si>
  <si>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</si>
  <si>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</si>
  <si>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</si>
  <si>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</si>
  <si>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</si>
  <si>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</si>
  <si>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</si>
  <si>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</si>
  <si>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</si>
  <si>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</si>
  <si>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</si>
  <si>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</si>
  <si>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</si>
  <si>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</si>
  <si>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</si>
  <si>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</si>
  <si>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</si>
  <si>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</si>
  <si>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</si>
  <si>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</si>
  <si>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</si>
  <si>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</si>
  <si>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</si>
  <si>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</si>
  <si>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</si>
  <si>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</si>
  <si>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</si>
  <si>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</si>
  <si>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</si>
  <si>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</si>
  <si>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</si>
  <si>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</si>
  <si>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</si>
  <si>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</si>
  <si>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</si>
  <si>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</si>
  <si>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</si>
  <si>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</si>
  <si>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</si>
  <si>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</si>
  <si>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</si>
  <si>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</si>
  <si>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</si>
  <si>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</si>
  <si>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</si>
  <si>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</si>
  <si>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</si>
  <si>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</si>
  <si>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</si>
  <si>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</si>
  <si>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</si>
  <si>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</si>
  <si>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</si>
  <si>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</si>
  <si>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</si>
  <si>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</si>
  <si>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</si>
  <si>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</si>
  <si>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</si>
  <si>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</si>
  <si>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</si>
  <si>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</si>
  <si>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</si>
  <si>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</si>
  <si>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</si>
  <si>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</si>
  <si>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</si>
  <si>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</si>
  <si>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</si>
  <si>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</si>
  <si>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</si>
  <si>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</si>
  <si>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</si>
  <si>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</si>
  <si>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</si>
  <si>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</si>
  <si>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</si>
  <si>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</si>
  <si>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</si>
  <si>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</si>
  <si>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</si>
  <si>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</si>
  <si>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</si>
  <si>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</si>
  <si>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</si>
  <si>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</si>
  <si>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</si>
  <si>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</si>
  <si>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</si>
  <si>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</si>
  <si>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</si>
  <si>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</si>
  <si>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</si>
  <si>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</si>
  <si>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</si>
  <si>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</si>
  <si>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</si>
  <si>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</si>
  <si>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</si>
  <si>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</si>
  <si>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</si>
  <si>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</si>
  <si>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</si>
  <si>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</si>
  <si>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</si>
  <si>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</si>
  <si>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</si>
  <si>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</si>
  <si>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</si>
  <si>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</si>
  <si>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</si>
  <si>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</si>
  <si>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</si>
  <si>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</si>
  <si>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</si>
  <si>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</si>
  <si>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</si>
  <si>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</si>
  <si>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</si>
  <si>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</si>
  <si>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</si>
  <si>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</si>
  <si>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</si>
  <si>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</si>
  <si>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</si>
  <si>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</si>
  <si>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</si>
  <si>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</si>
  <si>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</si>
  <si>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</si>
  <si>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</si>
  <si>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</si>
  <si>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</si>
  <si>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</si>
  <si>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</si>
  <si>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</si>
  <si>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</si>
  <si>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</si>
  <si>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</si>
  <si>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</si>
  <si>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</si>
  <si>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</si>
  <si>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</si>
  <si>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</si>
  <si>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</si>
  <si>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</si>
  <si>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</si>
  <si>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</si>
  <si>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</si>
  <si>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</si>
  <si>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</si>
  <si>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</si>
  <si>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</si>
  <si>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</si>
  <si>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</si>
  <si>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</si>
  <si>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</si>
  <si>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</si>
  <si>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</si>
  <si>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</si>
  <si>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</si>
  <si>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</si>
  <si>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</si>
  <si>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</si>
  <si>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</si>
  <si>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</si>
  <si>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</si>
  <si>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</si>
  <si>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</si>
  <si>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</si>
  <si>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</si>
  <si>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</si>
  <si>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</si>
  <si>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</si>
  <si>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</si>
  <si>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</si>
  <si>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</si>
  <si>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</si>
  <si>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</si>
  <si>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</si>
  <si>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</si>
  <si>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</si>
  <si>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</si>
  <si>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</si>
  <si>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</si>
  <si>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</si>
  <si>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</si>
  <si>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</si>
  <si>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</si>
  <si>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</si>
  <si>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</si>
  <si>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</si>
  <si>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</si>
  <si>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</si>
  <si>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</si>
  <si>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</si>
  <si>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</si>
  <si>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</si>
  <si>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</si>
  <si>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</si>
  <si>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</si>
  <si>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</si>
  <si>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</si>
  <si>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</si>
  <si>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</si>
  <si>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</si>
  <si>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</si>
  <si>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</si>
  <si>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</si>
  <si>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</si>
  <si>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</si>
  <si>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</si>
  <si>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</si>
  <si>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</si>
  <si>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</si>
  <si>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</si>
  <si>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</si>
  <si>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</si>
  <si>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</si>
  <si>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</si>
  <si>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</si>
  <si>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</si>
  <si>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</si>
  <si>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</si>
  <si>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</si>
  <si>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</si>
  <si>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</si>
  <si>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</si>
  <si>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</si>
  <si>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</si>
  <si>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</si>
  <si>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</si>
  <si>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</si>
  <si>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</si>
  <si>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</si>
  <si>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</si>
  <si>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</si>
  <si>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</si>
  <si>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</si>
  <si>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</si>
  <si>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</si>
  <si>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</si>
  <si>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</si>
  <si>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</si>
  <si>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</si>
  <si>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</si>
  <si>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</si>
  <si>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</si>
  <si>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</si>
  <si>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</si>
  <si>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</si>
  <si>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</si>
  <si>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</si>
  <si>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</si>
  <si>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</si>
  <si>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</si>
  <si>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</si>
  <si>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</si>
  <si>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</si>
  <si>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</si>
  <si>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</si>
  <si>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</si>
  <si>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</si>
  <si>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</si>
  <si>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</si>
  <si>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</si>
  <si>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</si>
  <si>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</si>
  <si>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</si>
  <si>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</si>
  <si>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</si>
  <si>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</si>
  <si>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</si>
  <si>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</si>
  <si>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</si>
  <si>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</si>
  <si>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</si>
  <si>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</si>
  <si>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</si>
  <si>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</si>
  <si>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</si>
  <si>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</si>
  <si>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</si>
  <si>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</si>
  <si>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</si>
  <si>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</si>
  <si>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</si>
  <si>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</si>
  <si>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</si>
  <si>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</si>
  <si>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</si>
  <si>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</si>
  <si>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</si>
  <si>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</si>
  <si>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</si>
  <si>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</si>
  <si>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</si>
  <si>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</si>
  <si>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</si>
  <si>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</si>
  <si>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</si>
  <si>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</si>
  <si>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</si>
  <si>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</si>
  <si>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</si>
  <si>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</si>
  <si>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</si>
  <si>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</si>
  <si>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</si>
  <si>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</si>
  <si>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</si>
  <si>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</si>
  <si>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</si>
  <si>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</si>
  <si>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</si>
  <si>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</si>
  <si>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</si>
  <si>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</si>
  <si>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</si>
  <si>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</si>
  <si>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</si>
  <si>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</si>
  <si>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</si>
  <si>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</si>
  <si>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</si>
  <si>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</si>
  <si>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</si>
  <si>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</si>
  <si>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</si>
  <si>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</si>
  <si>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</si>
  <si>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</si>
  <si>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</si>
  <si>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</si>
  <si>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</si>
  <si>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</si>
  <si>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</si>
  <si>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</si>
  <si>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</si>
  <si>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</si>
  <si>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</si>
  <si>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</si>
  <si>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</si>
  <si>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</si>
  <si>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</si>
  <si>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</si>
  <si>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</si>
  <si>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</si>
  <si>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</si>
  <si>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</si>
  <si>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</si>
  <si>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</si>
  <si>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</si>
  <si>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</si>
  <si>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</si>
  <si>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</si>
  <si>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</si>
  <si>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</si>
  <si>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</si>
  <si>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</si>
  <si>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</si>
  <si>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</si>
  <si>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</si>
  <si>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</si>
  <si>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</si>
  <si>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</si>
  <si>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</si>
  <si>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</si>
  <si>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</si>
  <si>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</si>
  <si>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</si>
  <si>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</si>
  <si>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</si>
  <si>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</si>
  <si>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</si>
  <si>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</si>
  <si>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</si>
  <si>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</si>
  <si>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</si>
  <si>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</si>
  <si>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</si>
  <si>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</si>
  <si>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</si>
  <si>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</si>
  <si>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</si>
  <si>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</si>
  <si>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</si>
  <si>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</si>
  <si>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</si>
  <si>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</si>
  <si>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</si>
  <si>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</si>
  <si>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</si>
  <si>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</si>
  <si>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</si>
  <si>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</si>
  <si>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</si>
  <si>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</si>
  <si>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</si>
  <si>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</si>
  <si>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</si>
  <si>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</si>
  <si>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</si>
  <si>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</si>
  <si>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</si>
  <si>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</si>
  <si>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</si>
  <si>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</si>
  <si>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</si>
  <si>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</si>
  <si>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</si>
  <si>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</si>
  <si>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</si>
  <si>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</si>
  <si>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</si>
  <si>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</si>
  <si>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</si>
  <si>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</si>
  <si>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</si>
  <si>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</si>
  <si>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</si>
  <si>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</si>
  <si>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</si>
  <si>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</si>
  <si>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</si>
  <si>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</si>
  <si>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</si>
  <si>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</si>
  <si>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</si>
  <si>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</si>
  <si>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</si>
  <si>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</si>
  <si>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</si>
  <si>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</si>
  <si>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</si>
  <si>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</si>
  <si>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</si>
  <si>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</si>
  <si>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</si>
  <si>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</si>
  <si>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</si>
  <si>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</si>
  <si>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</si>
  <si>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</si>
  <si>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</si>
  <si>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</si>
  <si>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</si>
  <si>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</si>
  <si>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</si>
  <si>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</si>
  <si>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</si>
  <si>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</si>
  <si>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</si>
  <si>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</si>
  <si>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</si>
  <si>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</si>
  <si>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</si>
  <si>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</si>
  <si>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</si>
  <si>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</si>
  <si>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</si>
  <si>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</si>
  <si>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</si>
  <si>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</si>
  <si>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</si>
  <si>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</si>
  <si>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</si>
  <si>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</si>
  <si>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</si>
  <si>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</si>
  <si>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</si>
  <si>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</si>
  <si>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</si>
  <si>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</si>
  <si>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</si>
  <si>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</si>
  <si>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</si>
  <si>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</si>
  <si>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</si>
  <si>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</si>
  <si>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</si>
  <si>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</si>
  <si>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</si>
  <si>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</si>
  <si>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</si>
  <si>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</si>
  <si>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</si>
  <si>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</si>
  <si>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</si>
  <si>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</si>
  <si>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</si>
  <si>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</si>
  <si>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</si>
  <si>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</si>
  <si>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</si>
  <si>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</si>
  <si>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</si>
  <si>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</si>
  <si>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</si>
  <si>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</si>
  <si>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</si>
  <si>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</si>
  <si>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</si>
  <si>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</si>
  <si>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</si>
  <si>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</si>
  <si>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</si>
  <si>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</si>
  <si>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</si>
  <si>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</si>
  <si>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</si>
  <si>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</si>
  <si>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</si>
  <si>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</si>
  <si>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</si>
  <si>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</si>
  <si>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</si>
  <si>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</si>
  <si>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</si>
  <si>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</si>
  <si>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</si>
  <si>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</si>
  <si>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</si>
  <si>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</si>
  <si>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</si>
  <si>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</si>
  <si>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</si>
  <si>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</si>
  <si>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</si>
  <si>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</si>
  <si>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</si>
  <si>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</si>
  <si>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</si>
  <si>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</si>
  <si>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</si>
  <si>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</si>
  <si>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</si>
  <si>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</si>
  <si>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</si>
  <si>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</si>
  <si>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</si>
  <si>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</si>
  <si>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</si>
  <si>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</si>
  <si>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</si>
  <si>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</si>
  <si>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</si>
  <si>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</si>
  <si>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</si>
  <si>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</si>
  <si>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</si>
  <si>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</si>
  <si>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</si>
  <si>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</si>
  <si>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</si>
  <si>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</si>
  <si>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</si>
  <si>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</si>
  <si>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</si>
  <si>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</si>
  <si>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</si>
  <si>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</si>
  <si>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</si>
  <si>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</si>
  <si>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</si>
  <si>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</si>
  <si>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</si>
  <si>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</si>
  <si>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</si>
  <si>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</si>
  <si>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</si>
  <si>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</si>
  <si>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</si>
  <si>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</si>
  <si>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</si>
  <si>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</si>
  <si>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</si>
  <si>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</si>
  <si>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</si>
  <si>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</si>
  <si>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</si>
  <si>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</si>
  <si>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</si>
  <si>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</si>
  <si>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</si>
  <si>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</si>
  <si>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</si>
  <si>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</si>
  <si>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</si>
  <si>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</si>
  <si>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</si>
  <si>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</si>
  <si>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</si>
  <si>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</si>
  <si>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</si>
  <si>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</si>
  <si>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</si>
  <si>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</si>
  <si>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</si>
  <si>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</si>
  <si>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</si>
  <si>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</si>
  <si>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</si>
  <si>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</si>
  <si>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</si>
  <si>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</si>
  <si>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</si>
  <si>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</si>
  <si>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</si>
  <si>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</si>
  <si>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</si>
  <si>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</si>
  <si>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</si>
  <si>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</si>
  <si>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</si>
  <si>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</si>
  <si>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</si>
  <si>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</si>
  <si>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</si>
  <si>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</si>
  <si>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</si>
  <si>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</si>
  <si>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</si>
  <si>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</si>
  <si>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</si>
  <si>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</si>
  <si>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</si>
  <si>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</si>
  <si>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</si>
  <si>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</si>
  <si>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</si>
  <si>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</si>
  <si>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</si>
  <si>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</si>
  <si>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</si>
  <si>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</si>
  <si>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</si>
  <si>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</si>
  <si>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</si>
  <si>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</si>
  <si>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</si>
  <si>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</si>
  <si>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</si>
  <si>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</si>
  <si>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</si>
  <si>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</si>
  <si>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</si>
  <si>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</si>
  <si>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</si>
  <si>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</si>
  <si>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</si>
  <si>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</si>
  <si>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</si>
  <si>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</si>
  <si>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</si>
  <si>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</si>
  <si>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</si>
  <si>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</si>
  <si>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</si>
  <si>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</si>
  <si>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</si>
  <si>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</si>
  <si>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</si>
  <si>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</si>
  <si>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</si>
  <si>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</si>
  <si>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</si>
  <si>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</si>
  <si>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</si>
  <si>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</si>
  <si>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</si>
  <si>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</si>
  <si>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</si>
  <si>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</si>
  <si>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</si>
  <si>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</si>
  <si>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</si>
  <si>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</si>
  <si>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</si>
  <si>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</si>
  <si>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</si>
  <si>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</si>
  <si>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</si>
  <si>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</si>
  <si>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</si>
  <si>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</si>
  <si>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</si>
  <si>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</si>
  <si>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</si>
  <si>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</si>
  <si>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</si>
  <si>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</si>
  <si>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</si>
  <si>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</si>
  <si>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</si>
  <si>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</si>
  <si>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</si>
  <si>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</si>
  <si>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</si>
  <si>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</si>
  <si>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</si>
  <si>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</si>
  <si>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</si>
  <si>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</si>
  <si>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</si>
  <si>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</si>
  <si>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</si>
  <si>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</si>
  <si>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</si>
  <si>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</si>
  <si>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</si>
  <si>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</si>
  <si>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</si>
  <si>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</si>
  <si>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</si>
  <si>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</si>
  <si>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</si>
  <si>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</si>
  <si>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</si>
  <si>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</si>
  <si>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</si>
  <si>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</si>
  <si>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</si>
  <si>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</si>
  <si>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</si>
  <si>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</si>
  <si>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</si>
  <si>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</si>
  <si>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</si>
  <si>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</si>
  <si>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</si>
  <si>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</si>
  <si>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</si>
  <si>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</si>
  <si>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</si>
  <si>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</si>
  <si>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</si>
  <si>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</si>
  <si>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</si>
  <si>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</si>
  <si>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</si>
  <si>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</si>
  <si>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</si>
  <si>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</si>
  <si>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</si>
  <si>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</si>
  <si>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</si>
  <si>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</si>
  <si>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</si>
  <si>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</si>
  <si>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</si>
  <si>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</si>
  <si>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</si>
  <si>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</si>
  <si>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</si>
  <si>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</si>
  <si>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</si>
  <si>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</si>
  <si>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</si>
  <si>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</si>
  <si>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</si>
  <si>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</si>
  <si>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</si>
  <si>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</si>
  <si>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</si>
  <si>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</si>
  <si>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</si>
  <si>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</si>
  <si>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</si>
  <si>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</si>
  <si>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</si>
  <si>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</si>
  <si>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</si>
  <si>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</si>
  <si>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</si>
  <si>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</si>
  <si>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</si>
  <si>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</si>
  <si>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</si>
  <si>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</si>
  <si>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</si>
  <si>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</si>
  <si>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</si>
  <si>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</si>
  <si>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</si>
  <si>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</si>
  <si>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</si>
  <si>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</si>
  <si>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</si>
  <si>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</si>
  <si>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</si>
  <si>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</si>
  <si>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</si>
  <si>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</si>
  <si>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</si>
  <si>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</si>
  <si>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</si>
  <si>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</si>
  <si>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</si>
  <si>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</si>
  <si>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</si>
  <si>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</si>
  <si>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</si>
  <si>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</si>
  <si>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</si>
  <si>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</si>
  <si>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</si>
  <si>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</si>
  <si>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</si>
  <si>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</si>
  <si>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</si>
  <si>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</si>
  <si>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</si>
  <si>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</si>
  <si>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</si>
  <si>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</si>
  <si>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</si>
  <si>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</si>
  <si>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</si>
  <si>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</si>
  <si>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</si>
  <si>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</si>
  <si>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</si>
  <si>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</si>
  <si>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</si>
  <si>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</si>
  <si>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</si>
  <si>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</si>
  <si>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</si>
  <si>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</si>
  <si>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</si>
  <si>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</si>
  <si>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</si>
  <si>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</si>
  <si>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</si>
  <si>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</si>
  <si>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</si>
  <si>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</si>
  <si>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</si>
  <si>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</si>
  <si>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</si>
  <si>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</si>
  <si>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</si>
  <si>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</si>
  <si>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</si>
  <si>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</si>
  <si>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</si>
  <si>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</si>
  <si>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</si>
  <si>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</si>
  <si>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</si>
  <si>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</si>
  <si>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</si>
  <si>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</si>
  <si>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</si>
  <si>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</si>
  <si>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</si>
  <si>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</si>
  <si>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</si>
  <si>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</si>
  <si>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</si>
  <si>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</si>
  <si>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</si>
  <si>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</si>
  <si>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</si>
  <si>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</si>
  <si>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</si>
  <si>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</si>
  <si>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</si>
  <si>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</si>
  <si>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</si>
  <si>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</si>
  <si>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</si>
  <si>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</si>
  <si>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</si>
  <si>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</si>
  <si>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</si>
  <si>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</si>
  <si>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</si>
  <si>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</si>
  <si>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</si>
  <si>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</si>
  <si>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</si>
  <si>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</si>
  <si>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</si>
  <si>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</si>
  <si>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</si>
  <si>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</si>
  <si>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</si>
  <si>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</si>
  <si>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</si>
  <si>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</si>
  <si>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</si>
  <si>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</si>
  <si>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</si>
  <si>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</si>
  <si>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</si>
  <si>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</si>
  <si>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</si>
  <si>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</si>
  <si>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</si>
  <si>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</si>
  <si>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</si>
  <si>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</si>
  <si>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</si>
  <si>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</si>
  <si>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</si>
  <si>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</si>
  <si>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</si>
  <si>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</si>
  <si>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</si>
  <si>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</si>
  <si>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</si>
  <si>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</si>
  <si>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</si>
  <si>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</si>
  <si>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</si>
  <si>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</si>
  <si>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</si>
  <si>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</si>
  <si>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</si>
  <si>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</si>
  <si>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</si>
  <si>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</si>
  <si>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</si>
  <si>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</si>
  <si>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</si>
  <si>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</si>
  <si>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</si>
  <si>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</si>
  <si>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</si>
  <si>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</si>
  <si>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</si>
  <si>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</si>
  <si>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</si>
  <si>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</si>
  <si>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</si>
  <si>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</si>
  <si>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</si>
  <si>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</si>
  <si>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</si>
  <si>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</si>
  <si>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</si>
  <si>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</si>
  <si>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</si>
  <si>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</si>
  <si>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</si>
  <si>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</si>
  <si>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</si>
  <si>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</si>
  <si>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</si>
  <si>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</si>
  <si>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</si>
  <si>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</si>
  <si>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</si>
  <si>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</si>
  <si>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</si>
  <si>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</si>
  <si>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</si>
  <si>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</si>
  <si>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</si>
  <si>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</si>
  <si>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</si>
  <si>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</si>
  <si>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</si>
  <si>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</si>
  <si>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</si>
  <si>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</si>
  <si>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</si>
  <si>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</si>
  <si>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</si>
  <si>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</si>
  <si>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</si>
  <si>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</si>
  <si>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</si>
  <si>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</si>
  <si>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</si>
  <si>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</si>
  <si>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</si>
  <si>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</si>
  <si>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</si>
  <si>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</si>
  <si>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</si>
  <si>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</si>
  <si>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</si>
  <si>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</si>
  <si>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</si>
  <si>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</si>
  <si>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</si>
  <si>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</si>
  <si>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</si>
  <si>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</si>
  <si>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</si>
  <si>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</si>
  <si>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</si>
  <si>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</si>
  <si>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</si>
  <si>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</si>
  <si>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</si>
  <si>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</si>
  <si>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</si>
  <si>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</si>
  <si>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</si>
  <si>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</si>
  <si>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</si>
  <si>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</si>
  <si>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</si>
  <si>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</si>
  <si>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</si>
  <si>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</si>
  <si>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</si>
  <si>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</si>
  <si>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</si>
  <si>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</si>
  <si>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</si>
  <si>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</si>
  <si>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</si>
  <si>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</si>
  <si>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</si>
  <si>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</si>
  <si>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</si>
  <si>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</si>
  <si>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</si>
  <si>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</si>
  <si>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</si>
  <si>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</si>
  <si>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</si>
  <si>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</si>
  <si>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</si>
  <si>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</si>
  <si>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</si>
  <si>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</si>
  <si>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</si>
  <si>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</si>
  <si>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</si>
  <si>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</si>
  <si>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</si>
  <si>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</si>
  <si>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</si>
  <si>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</si>
  <si>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</si>
  <si>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</si>
  <si>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</si>
  <si>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</si>
  <si>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</si>
  <si>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</si>
  <si>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</si>
  <si>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</si>
  <si>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</si>
  <si>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</si>
  <si>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</si>
  <si>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</si>
  <si>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</si>
  <si>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</si>
  <si>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</si>
  <si>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</si>
  <si>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</si>
  <si>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</si>
  <si>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</si>
  <si>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</si>
  <si>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</si>
  <si>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</si>
  <si>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</si>
  <si>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</si>
  <si>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</si>
  <si>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</si>
  <si>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</si>
  <si>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</si>
  <si>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</si>
  <si>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</si>
  <si>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</si>
  <si>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</si>
  <si>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</si>
  <si>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</si>
  <si>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</si>
  <si>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</si>
  <si>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</si>
  <si>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</si>
  <si>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</si>
  <si>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</si>
  <si>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</si>
  <si>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</si>
  <si>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</si>
  <si>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</si>
  <si>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</si>
  <si>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</si>
  <si>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</si>
  <si>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</si>
  <si>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</si>
  <si>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</si>
  <si>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</si>
  <si>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</si>
  <si>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</si>
  <si>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</si>
  <si>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</si>
  <si>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</si>
  <si>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</si>
  <si>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</si>
  <si>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</si>
  <si>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</si>
  <si>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</si>
  <si>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</si>
  <si>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</si>
  <si>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</si>
  <si>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</si>
  <si>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</si>
  <si>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</si>
  <si>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</si>
  <si>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</si>
  <si>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</si>
  <si>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</si>
  <si>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</si>
  <si>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</si>
  <si>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</si>
  <si>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</si>
  <si>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</si>
  <si>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</si>
  <si>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</si>
  <si>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</si>
  <si>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</si>
  <si>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</si>
  <si>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</si>
  <si>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</si>
  <si>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</si>
  <si>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</si>
  <si>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</si>
  <si>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</si>
  <si>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</si>
  <si>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</si>
  <si>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</si>
  <si>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</si>
  <si>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</si>
  <si>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</si>
  <si>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</si>
  <si>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</si>
  <si>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</si>
  <si>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</si>
  <si>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</si>
  <si>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</si>
  <si>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</si>
  <si>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</si>
  <si>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</si>
  <si>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</si>
  <si>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</si>
  <si>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</si>
  <si>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</si>
  <si>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</si>
  <si>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</si>
  <si>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</si>
  <si>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</si>
  <si>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</si>
  <si>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</si>
  <si>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</si>
  <si>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</si>
  <si>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</si>
  <si>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</si>
  <si>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</si>
  <si>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</si>
  <si>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</si>
  <si>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</si>
  <si>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</si>
  <si>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</si>
  <si>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</si>
  <si>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</si>
  <si>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</si>
  <si>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</si>
  <si>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</si>
  <si>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</si>
  <si>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</si>
  <si>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</si>
  <si>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</si>
  <si>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</si>
  <si>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</si>
  <si>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</si>
  <si>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</si>
  <si>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</si>
  <si>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</si>
  <si>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</si>
  <si>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</si>
  <si>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</si>
  <si>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</si>
  <si>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</si>
  <si>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</si>
  <si>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</si>
  <si>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</si>
  <si>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</si>
  <si>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</si>
  <si>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</si>
  <si>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</si>
  <si>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</si>
  <si>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</si>
  <si>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</si>
  <si>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</si>
  <si>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</si>
  <si>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</si>
  <si>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</si>
  <si>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</si>
  <si>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</si>
  <si>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</si>
  <si>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</si>
  <si>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</si>
  <si>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</si>
  <si>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</si>
  <si>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</si>
  <si>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</si>
  <si>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</si>
  <si>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</si>
  <si>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</si>
  <si>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</si>
  <si>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</si>
  <si>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</si>
  <si>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</si>
  <si>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</si>
  <si>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</si>
  <si>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</si>
  <si>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</si>
  <si>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</si>
  <si>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</si>
  <si>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</si>
  <si>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</si>
  <si>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</si>
  <si>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</si>
  <si>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</si>
  <si>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</si>
  <si>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</si>
  <si>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</si>
  <si>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</si>
  <si>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</si>
  <si>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</si>
  <si>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</si>
  <si>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</si>
  <si>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</si>
  <si>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</si>
  <si>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</si>
  <si>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</si>
  <si>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</si>
  <si>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</si>
  <si>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</si>
  <si>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</si>
  <si>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</si>
  <si>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</si>
  <si>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</si>
  <si>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</si>
  <si>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</si>
  <si>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</si>
  <si>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</si>
  <si>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</si>
  <si>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</si>
  <si>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</si>
  <si>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</si>
  <si>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</si>
  <si>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</si>
  <si>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</si>
  <si>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</si>
  <si>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</si>
  <si>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</si>
  <si>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</si>
  <si>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</si>
  <si>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</si>
  <si>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</si>
  <si>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</si>
  <si>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</si>
  <si>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</si>
  <si>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</si>
  <si>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</si>
  <si>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</si>
  <si>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</si>
  <si>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</si>
  <si>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</si>
  <si>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</si>
  <si>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</si>
  <si>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</si>
  <si>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</si>
  <si>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</si>
  <si>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</si>
  <si>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</si>
  <si>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</si>
  <si>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</si>
  <si>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</si>
  <si>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</si>
  <si>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</si>
  <si>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</si>
  <si>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</si>
  <si>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</si>
  <si>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</si>
  <si>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</si>
  <si>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</si>
  <si>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</si>
  <si>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</si>
  <si>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</si>
  <si>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</si>
  <si>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</si>
  <si>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</si>
  <si>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</si>
  <si>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</si>
  <si>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</si>
  <si>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</si>
  <si>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</si>
  <si>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</si>
  <si>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</si>
  <si>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</si>
  <si>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</si>
  <si>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</si>
  <si>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</si>
  <si>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</si>
  <si>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</si>
  <si>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</si>
  <si>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</si>
  <si>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</si>
  <si>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</si>
  <si>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</si>
  <si>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</si>
  <si>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</si>
  <si>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</si>
  <si>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</si>
  <si>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</si>
  <si>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</si>
  <si>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</si>
  <si>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</si>
  <si>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</si>
  <si>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</si>
  <si>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</si>
  <si>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</si>
  <si>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</si>
  <si>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</si>
  <si>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</si>
  <si>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</si>
  <si>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</si>
  <si>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</si>
  <si>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</si>
  <si>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</si>
  <si>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</si>
  <si>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</si>
  <si>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</si>
  <si>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</si>
  <si>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</si>
  <si>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</si>
  <si>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</si>
  <si>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</si>
  <si>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</si>
  <si>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</si>
  <si>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</si>
  <si>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</si>
  <si>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</si>
  <si>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</si>
  <si>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</si>
  <si>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</si>
  <si>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</si>
  <si>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</si>
  <si>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</si>
  <si>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</si>
  <si>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</si>
  <si>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</si>
  <si>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</si>
  <si>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</si>
  <si>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</si>
  <si>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</si>
  <si>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</si>
  <si>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</si>
  <si>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</si>
  <si>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</si>
  <si>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</si>
  <si>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</si>
  <si>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</si>
  <si>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</si>
  <si>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</si>
  <si>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</si>
  <si>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</si>
  <si>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</si>
  <si>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</si>
  <si>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</si>
  <si>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</si>
  <si>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</si>
  <si>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</si>
  <si>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</si>
  <si>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</si>
  <si>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</si>
  <si>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</si>
  <si>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</si>
  <si>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</si>
  <si>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</si>
  <si>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</si>
  <si>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</si>
  <si>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</si>
  <si>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</si>
  <si>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</si>
  <si>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</si>
  <si>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</si>
  <si>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</si>
  <si>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</si>
  <si>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</si>
  <si>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</si>
  <si>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</si>
  <si>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</si>
  <si>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</si>
  <si>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</si>
  <si>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</si>
  <si>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</si>
  <si>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</si>
  <si>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</si>
  <si>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</si>
  <si>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</si>
  <si>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</si>
  <si>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</si>
  <si>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</si>
  <si>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</si>
  <si>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</si>
  <si>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</si>
  <si>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</si>
  <si>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</si>
  <si>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</si>
  <si>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</si>
  <si>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</si>
  <si>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</si>
  <si>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</si>
  <si>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</si>
  <si>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</si>
  <si>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</si>
  <si>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</si>
  <si>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</si>
  <si>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</si>
  <si>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</si>
  <si>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</si>
  <si>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</si>
  <si>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</si>
  <si>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</si>
  <si>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</si>
  <si>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</si>
  <si>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</si>
  <si>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</si>
  <si>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</si>
  <si>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</si>
  <si>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</si>
  <si>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</si>
  <si>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</si>
  <si>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</si>
  <si>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</si>
  <si>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</si>
  <si>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</si>
  <si>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</si>
  <si>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</si>
  <si>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</si>
  <si>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</si>
  <si>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</si>
  <si>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</si>
  <si>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</si>
  <si>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</si>
  <si>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</si>
  <si>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</si>
  <si>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</si>
  <si>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</si>
  <si>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</si>
  <si>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</si>
  <si>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</si>
  <si>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</si>
  <si>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</si>
  <si>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</si>
  <si>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</si>
  <si>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</si>
  <si>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</si>
  <si>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</si>
  <si>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</si>
  <si>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</si>
  <si>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</si>
  <si>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</si>
  <si>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</si>
  <si>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</si>
  <si>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</si>
  <si>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</si>
  <si>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</si>
  <si>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</si>
  <si>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</si>
  <si>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</si>
  <si>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</si>
  <si>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</si>
  <si>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</si>
  <si>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</si>
  <si>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</si>
  <si>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</si>
  <si>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</si>
  <si>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</si>
  <si>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</si>
  <si>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</si>
  <si>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</si>
  <si>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</si>
  <si>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</si>
  <si>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</si>
  <si>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</si>
  <si>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</si>
  <si>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</si>
  <si>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</si>
  <si>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</si>
  <si>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</si>
  <si>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</si>
  <si>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</si>
  <si>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</si>
  <si>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</si>
  <si>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</si>
  <si>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</si>
  <si>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</si>
  <si>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</si>
  <si>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</si>
  <si>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</si>
  <si>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</si>
  <si>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</si>
  <si>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</si>
  <si>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</si>
  <si>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</si>
  <si>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</si>
  <si>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</si>
  <si>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</si>
  <si>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</si>
  <si>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</si>
  <si>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</si>
  <si>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</si>
  <si>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</si>
  <si>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</si>
  <si>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</si>
  <si>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</si>
  <si>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</si>
  <si>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</si>
  <si>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</si>
  <si>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</si>
  <si>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</si>
  <si>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</si>
  <si>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</si>
  <si>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</si>
  <si>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</si>
  <si>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</si>
  <si>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</si>
  <si>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</si>
  <si>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</si>
  <si>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</si>
  <si>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</si>
  <si>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</si>
  <si>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</si>
  <si>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</si>
  <si>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</si>
  <si>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</si>
  <si>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</si>
  <si>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</si>
  <si>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</si>
  <si>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</si>
  <si>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</si>
  <si>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</si>
  <si>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</si>
  <si>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</si>
  <si>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</si>
  <si>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</si>
  <si>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</si>
  <si>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</si>
  <si>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</si>
  <si>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</si>
  <si>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</si>
  <si>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</si>
  <si>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</si>
  <si>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</si>
  <si>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</si>
  <si>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</si>
  <si>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</si>
  <si>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</si>
  <si>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</si>
  <si>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</si>
  <si>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</si>
  <si>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</si>
  <si>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</si>
  <si>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</si>
  <si>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</si>
  <si>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</si>
  <si>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</si>
  <si>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</si>
  <si>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</si>
  <si>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</si>
  <si>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</si>
  <si>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</si>
  <si>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</si>
  <si>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</si>
  <si>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</si>
  <si>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</si>
  <si>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</si>
  <si>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</si>
  <si>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</si>
  <si>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</si>
  <si>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</si>
  <si>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</si>
  <si>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</si>
  <si>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</si>
  <si>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</si>
  <si>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</si>
  <si>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</si>
  <si>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</si>
  <si>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</si>
  <si>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</si>
  <si>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</si>
  <si>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</si>
  <si>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</si>
  <si>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</si>
  <si>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</si>
  <si>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</si>
  <si>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</si>
  <si>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</si>
  <si>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</si>
  <si>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</si>
  <si>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</si>
  <si>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</si>
  <si>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</si>
  <si>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</si>
  <si>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</si>
  <si>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</si>
  <si>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</si>
  <si>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</si>
  <si>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</si>
  <si>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</si>
  <si>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</si>
  <si>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</si>
  <si>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</si>
  <si>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</si>
  <si>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</si>
  <si>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</si>
  <si>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</si>
  <si>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</si>
  <si>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</si>
  <si>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</si>
  <si>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</si>
  <si>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</si>
  <si>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</si>
  <si>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</si>
  <si>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</si>
  <si>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</si>
  <si>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</si>
  <si>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</si>
  <si>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</si>
  <si>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</si>
  <si>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</si>
  <si>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</si>
  <si>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</si>
  <si>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</si>
  <si>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</si>
  <si>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</si>
  <si>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</si>
  <si>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</si>
  <si>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</si>
  <si>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</si>
  <si>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</si>
  <si>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</si>
  <si>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</si>
  <si>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</si>
  <si>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</si>
  <si>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</si>
  <si>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</si>
  <si>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</si>
  <si>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</si>
  <si>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</si>
  <si>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</si>
  <si>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</si>
  <si>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</si>
  <si>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</si>
  <si>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</si>
  <si>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</si>
  <si>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</si>
  <si>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</si>
  <si>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</si>
  <si>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</si>
  <si>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</si>
  <si>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</si>
  <si>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</si>
  <si>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</si>
  <si>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</si>
  <si>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</si>
  <si>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</si>
  <si>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</si>
  <si>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</si>
  <si>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</si>
  <si>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</si>
  <si>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</si>
  <si>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</si>
  <si>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</si>
  <si>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</si>
  <si>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</si>
  <si>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</si>
  <si>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</si>
  <si>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</si>
  <si>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</si>
  <si>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</si>
  <si>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</si>
  <si>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</si>
  <si>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</si>
  <si>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</si>
  <si>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</si>
  <si>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</si>
  <si>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</si>
  <si>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</si>
  <si>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</si>
  <si>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</si>
  <si>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</si>
  <si>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</si>
  <si>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</si>
  <si>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</si>
  <si>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</si>
  <si>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</si>
  <si>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</si>
  <si>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</si>
  <si>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</si>
  <si>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</si>
  <si>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</si>
  <si>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</si>
  <si>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</si>
  <si>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</si>
  <si>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</si>
  <si>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</si>
  <si>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</si>
  <si>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</si>
  <si>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</si>
  <si>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</si>
  <si>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</si>
  <si>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</si>
  <si>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</si>
  <si>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</si>
  <si>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</si>
  <si>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</si>
  <si>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</si>
  <si>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</si>
  <si>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</si>
  <si>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</si>
  <si>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</si>
  <si>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</si>
  <si>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</si>
  <si>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</si>
  <si>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</si>
  <si>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</si>
  <si>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</si>
  <si>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</si>
  <si>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</si>
  <si>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</si>
  <si>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</si>
  <si>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</si>
  <si>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</si>
  <si>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</si>
  <si>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</si>
  <si>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</si>
  <si>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</si>
  <si>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</si>
  <si>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</si>
  <si>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</si>
  <si>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</si>
  <si>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</si>
  <si>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</si>
  <si>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</si>
  <si>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</si>
  <si>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</si>
  <si>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</si>
  <si>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</si>
  <si>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</si>
  <si>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</si>
  <si>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</si>
  <si>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</si>
  <si>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</si>
  <si>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</si>
  <si>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</si>
  <si>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</si>
  <si>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</si>
  <si>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</si>
  <si>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</si>
  <si>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</si>
  <si>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</si>
  <si>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</si>
  <si>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</si>
  <si>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</si>
  <si>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</si>
  <si>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</si>
  <si>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</si>
  <si>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</si>
  <si>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</si>
  <si>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</si>
  <si>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</si>
  <si>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</si>
  <si>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</si>
  <si>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</si>
  <si>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</si>
  <si>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</si>
  <si>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</si>
  <si>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</si>
  <si>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</si>
  <si>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</si>
  <si>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</si>
  <si>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</si>
  <si>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</si>
  <si>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</si>
  <si>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</si>
  <si>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</si>
  <si>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</si>
  <si>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</si>
  <si>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</si>
  <si>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</si>
  <si>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</si>
  <si>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</si>
  <si>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</si>
  <si>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</si>
  <si>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</si>
  <si>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</si>
  <si>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</si>
  <si>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</si>
  <si>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</si>
  <si>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</si>
  <si>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</si>
  <si>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</si>
  <si>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</si>
  <si>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</si>
  <si>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</si>
  <si>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</si>
  <si>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</si>
  <si>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</si>
  <si>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</si>
  <si>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</si>
  <si>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</si>
  <si>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</si>
  <si>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</si>
  <si>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</si>
  <si>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</si>
  <si>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</si>
  <si>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</si>
  <si>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</si>
  <si>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</si>
  <si>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</si>
  <si>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</si>
  <si>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</si>
  <si>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</si>
  <si>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</si>
  <si>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</si>
  <si>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</si>
  <si>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</si>
  <si>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</si>
  <si>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</si>
  <si>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</si>
  <si>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</si>
  <si>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</si>
  <si>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</si>
  <si>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</si>
  <si>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</si>
  <si>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</si>
  <si>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</si>
  <si>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</si>
  <si>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</si>
  <si>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</si>
  <si>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</si>
  <si>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</si>
  <si>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</si>
  <si>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</si>
  <si>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</si>
  <si>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</si>
  <si>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</si>
  <si>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</si>
  <si>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</si>
  <si>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</si>
  <si>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</si>
  <si>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</si>
  <si>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</si>
  <si>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</si>
  <si>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</si>
  <si>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</si>
  <si>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</si>
  <si>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</si>
  <si>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</si>
  <si>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</si>
  <si>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</si>
  <si>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</si>
  <si>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</si>
  <si>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</si>
  <si>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</si>
  <si>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</si>
  <si>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</si>
  <si>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</si>
  <si>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</si>
  <si>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</si>
  <si>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</si>
  <si>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</si>
  <si>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</si>
  <si>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</si>
  <si>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</si>
  <si>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</si>
  <si>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</si>
  <si>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</si>
  <si>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</si>
  <si>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</si>
  <si>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</si>
  <si>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</si>
  <si>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</si>
  <si>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</si>
  <si>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</si>
  <si>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</si>
  <si>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</si>
  <si>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</si>
  <si>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</si>
  <si>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</si>
  <si>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</si>
  <si>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</si>
  <si>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</si>
  <si>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</si>
  <si>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</si>
  <si>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</si>
  <si>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</si>
  <si>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</si>
  <si>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</si>
  <si>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</si>
  <si>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</si>
  <si>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</si>
  <si>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</si>
  <si>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</si>
  <si>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</si>
  <si>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</si>
  <si>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</si>
  <si>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</si>
  <si>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</si>
  <si>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</si>
  <si>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</si>
  <si>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</si>
  <si>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</si>
  <si>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</si>
  <si>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</si>
  <si>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</si>
  <si>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</si>
  <si>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</si>
  <si>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</si>
  <si>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</si>
  <si>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</si>
  <si>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</si>
  <si>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</si>
  <si>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</si>
  <si>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</si>
  <si>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</si>
  <si>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</si>
  <si>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</si>
  <si>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</si>
  <si>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</si>
  <si>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</si>
  <si>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</si>
  <si>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</si>
  <si>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</si>
  <si>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</si>
  <si>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</si>
  <si>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</si>
  <si>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</si>
  <si>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</si>
  <si>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</si>
  <si>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</si>
  <si>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</si>
  <si>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</si>
  <si>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</si>
  <si>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</si>
  <si>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</si>
  <si>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</si>
  <si>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</si>
  <si>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</si>
  <si>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</si>
  <si>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</si>
  <si>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</si>
  <si>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</si>
  <si>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</si>
  <si>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</si>
  <si>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</si>
  <si>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</si>
  <si>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</si>
  <si>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</si>
  <si>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</si>
  <si>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</si>
  <si>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</si>
  <si>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</si>
  <si>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</si>
  <si>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</si>
  <si>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</si>
  <si>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</si>
  <si>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</si>
  <si>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</si>
  <si>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</si>
  <si>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</si>
  <si>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</si>
  <si>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</si>
  <si>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</si>
  <si>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</si>
  <si>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</si>
  <si>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</si>
  <si>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</si>
  <si>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</si>
  <si>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</si>
  <si>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</si>
  <si>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</si>
  <si>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</si>
  <si>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</si>
  <si>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</si>
  <si>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</si>
  <si>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</si>
  <si>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</si>
  <si>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</si>
  <si>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</si>
  <si>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</si>
  <si>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</si>
  <si>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</si>
  <si>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</si>
  <si>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</si>
  <si>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</si>
  <si>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</si>
  <si>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</si>
  <si>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</si>
  <si>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</si>
  <si>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</si>
  <si>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</si>
  <si>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</si>
  <si>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</si>
  <si>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</si>
  <si>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</si>
  <si>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</si>
  <si>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</si>
  <si>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</si>
  <si>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</si>
  <si>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</si>
  <si>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</si>
  <si>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</si>
  <si>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</si>
  <si>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</si>
  <si>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</si>
  <si>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</si>
  <si>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</si>
  <si>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</si>
  <si>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</si>
  <si>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</si>
  <si>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</si>
  <si>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</si>
  <si>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</si>
  <si>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</si>
  <si>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</si>
  <si>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</si>
  <si>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</si>
  <si>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</si>
  <si>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</si>
  <si>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</si>
  <si>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</si>
  <si>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</si>
  <si>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</si>
  <si>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</si>
  <si>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</si>
  <si>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</si>
  <si>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</si>
  <si>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</si>
  <si>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</si>
  <si>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</si>
  <si>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</si>
  <si>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</si>
  <si>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</si>
  <si>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</si>
  <si>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</si>
  <si>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</si>
  <si>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</si>
  <si>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</si>
  <si>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</si>
  <si>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</si>
  <si>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</si>
  <si>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</si>
  <si>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</si>
  <si>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</si>
  <si>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</si>
  <si>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</si>
  <si>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</si>
  <si>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</si>
  <si>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</si>
  <si>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</si>
  <si>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</si>
  <si>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</si>
  <si>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</si>
  <si>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</si>
  <si>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</si>
  <si>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</si>
  <si>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</si>
  <si>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</si>
  <si>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</si>
  <si>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</si>
  <si>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</si>
  <si>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</si>
  <si>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</si>
  <si>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</si>
  <si>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</si>
  <si>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</si>
  <si>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</si>
  <si>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</si>
  <si>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</si>
  <si>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</si>
  <si>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</si>
  <si>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</si>
  <si>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</si>
  <si>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</si>
  <si>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</si>
  <si>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</si>
  <si>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</si>
  <si>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</si>
  <si>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</si>
  <si>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</si>
  <si>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</si>
  <si>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</si>
  <si>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</si>
  <si>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</si>
  <si>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</si>
  <si>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</si>
  <si>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</si>
  <si>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</si>
  <si>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</si>
  <si>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</si>
  <si>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</si>
  <si>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</si>
  <si>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</si>
  <si>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</si>
  <si>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</si>
  <si>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</si>
  <si>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</si>
  <si>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</si>
  <si>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</si>
  <si>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</si>
  <si>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</si>
  <si>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</si>
  <si>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</si>
  <si>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</si>
  <si>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</si>
  <si>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</si>
  <si>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</si>
  <si>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</si>
  <si>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</si>
  <si>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</si>
  <si>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</si>
  <si>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</si>
  <si>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</si>
  <si>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</si>
  <si>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</si>
  <si>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</si>
  <si>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</si>
  <si>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</si>
  <si>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</si>
  <si>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</si>
  <si>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</si>
  <si>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</si>
  <si>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</si>
  <si>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</si>
  <si>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</si>
  <si>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</si>
  <si>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</si>
  <si>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</si>
  <si>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</si>
  <si>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</si>
  <si>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</si>
  <si>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</si>
  <si>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</si>
  <si>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</si>
  <si>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</si>
  <si>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</si>
  <si>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</si>
  <si>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</si>
  <si>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</si>
  <si>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</si>
  <si>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</si>
  <si>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</si>
  <si>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</si>
  <si>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</si>
  <si>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</si>
  <si>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</si>
  <si>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</si>
  <si>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</si>
  <si>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</si>
  <si>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</si>
  <si>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</si>
  <si>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</si>
  <si>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</si>
  <si>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</si>
  <si>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</si>
  <si>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</si>
  <si>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</si>
  <si>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</si>
  <si>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</si>
  <si>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</si>
  <si>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</si>
  <si>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</si>
  <si>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</si>
  <si>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</si>
  <si>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</si>
  <si>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</si>
  <si>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</si>
  <si>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</si>
  <si>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</si>
  <si>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</si>
  <si>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</si>
  <si>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</si>
  <si>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</si>
  <si>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</si>
  <si>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</si>
  <si>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</si>
  <si>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</si>
  <si>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</si>
  <si>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</si>
  <si>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</si>
  <si>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</si>
  <si>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</si>
  <si>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</si>
  <si>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</si>
  <si>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</si>
  <si>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</si>
  <si>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</si>
  <si>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</si>
  <si>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</si>
  <si>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</si>
  <si>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</si>
  <si>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</si>
  <si>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</si>
  <si>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</si>
  <si>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</si>
  <si>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</si>
  <si>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</si>
  <si>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</si>
  <si>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</si>
  <si>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</si>
  <si>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</si>
  <si>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</si>
  <si>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</si>
  <si>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</si>
  <si>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</si>
  <si>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</si>
  <si>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</si>
  <si>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</si>
  <si>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</si>
  <si>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</si>
  <si>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</si>
  <si>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</si>
  <si>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</si>
  <si>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</si>
  <si>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</si>
  <si>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</si>
  <si>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</si>
  <si>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</si>
  <si>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</si>
  <si>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</si>
  <si>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</si>
  <si>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</si>
  <si>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</si>
  <si>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</si>
  <si>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</si>
  <si>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</si>
  <si>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</si>
  <si>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</si>
  <si>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</si>
  <si>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</si>
  <si>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</si>
  <si>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</si>
  <si>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</si>
  <si>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</si>
  <si>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</si>
  <si>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</si>
  <si>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</si>
  <si>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</si>
  <si>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</si>
  <si>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</si>
  <si>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</si>
  <si>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</si>
  <si>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</si>
  <si>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</si>
  <si>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</si>
  <si>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</si>
  <si>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</si>
  <si>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</si>
  <si>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</si>
  <si>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</si>
  <si>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</si>
  <si>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</si>
  <si>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</si>
  <si>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</si>
  <si>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</si>
  <si>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</si>
  <si>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</si>
  <si>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</si>
  <si>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</si>
  <si>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</si>
  <si>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</si>
  <si>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</si>
  <si>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</si>
  <si>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</si>
  <si>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</si>
  <si>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</si>
  <si>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</si>
  <si>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</si>
  <si>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</si>
  <si>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</si>
  <si>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</si>
  <si>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</si>
  <si>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</si>
  <si>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</si>
  <si>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</si>
  <si>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</si>
  <si>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</si>
  <si>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</si>
  <si>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</si>
  <si>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</si>
  <si>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</si>
  <si>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</si>
  <si>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</si>
  <si>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</si>
  <si>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</si>
  <si>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</si>
  <si>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</si>
  <si>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</si>
  <si>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</si>
  <si>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</si>
  <si>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</si>
  <si>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</si>
  <si>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</si>
  <si>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</si>
  <si>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</si>
  <si>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</si>
  <si>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</si>
  <si>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</si>
  <si>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</si>
  <si>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</si>
  <si>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</si>
  <si>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</si>
  <si>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</si>
  <si>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</si>
  <si>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</si>
  <si>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</si>
  <si>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</si>
  <si>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</si>
  <si>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</si>
  <si>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</si>
  <si>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</si>
  <si>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</si>
  <si>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</si>
  <si>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</si>
  <si>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</si>
  <si>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</si>
  <si>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</si>
  <si>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</si>
  <si>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</si>
  <si>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</si>
  <si>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</si>
  <si>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</si>
  <si>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</si>
  <si>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</si>
  <si>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</si>
  <si>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</si>
  <si>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</si>
  <si>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</si>
  <si>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</si>
  <si>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</si>
  <si>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</si>
  <si>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</si>
  <si>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</si>
  <si>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</si>
  <si>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</si>
  <si>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</si>
  <si>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</si>
  <si>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</si>
  <si>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</si>
  <si>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</si>
  <si>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</si>
  <si>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</si>
  <si>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</si>
  <si>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</si>
  <si>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</si>
  <si>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</si>
  <si>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</si>
  <si>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</si>
  <si>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</si>
  <si>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</si>
  <si>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</si>
  <si>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</si>
  <si>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</si>
  <si>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</si>
  <si>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</si>
  <si>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</si>
  <si>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</si>
  <si>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</si>
  <si>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</si>
  <si>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</si>
  <si>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</si>
  <si>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</si>
  <si>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</si>
  <si>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</si>
  <si>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</si>
  <si>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</si>
  <si>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</si>
  <si>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</si>
  <si>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</si>
  <si>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</si>
  <si>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</si>
  <si>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</si>
  <si>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</si>
  <si>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</si>
  <si>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</si>
  <si>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</si>
  <si>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</si>
  <si>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</si>
  <si>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</si>
  <si>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</si>
  <si>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</si>
  <si>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</si>
  <si>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</si>
  <si>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</si>
  <si>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</si>
  <si>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</si>
  <si>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</si>
  <si>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</si>
  <si>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</si>
  <si>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</si>
  <si>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</si>
  <si>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</si>
  <si>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</si>
  <si>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</si>
  <si>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</si>
  <si>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</si>
  <si>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</si>
  <si>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</si>
  <si>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</si>
  <si>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</si>
  <si>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</si>
  <si>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</si>
  <si>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</si>
  <si>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</si>
  <si>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</si>
  <si>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</si>
  <si>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</si>
  <si>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</si>
  <si>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</si>
  <si>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</si>
  <si>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</si>
  <si>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</si>
  <si>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</si>
  <si>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</si>
  <si>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</si>
  <si>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</si>
  <si>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</si>
  <si>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</si>
  <si>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</si>
  <si>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</si>
  <si>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</si>
  <si>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</si>
  <si>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</si>
  <si>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</si>
  <si>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</si>
  <si>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</si>
  <si>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</si>
  <si>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</si>
  <si>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</si>
  <si>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</si>
  <si>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</si>
  <si>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</si>
  <si>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</si>
  <si>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</si>
  <si>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</si>
  <si>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</si>
  <si>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</si>
  <si>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</si>
  <si>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</si>
  <si>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</si>
  <si>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</si>
  <si>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</si>
  <si>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</si>
  <si>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</si>
  <si>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</si>
  <si>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</si>
  <si>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</si>
  <si>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</si>
  <si>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</si>
  <si>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</si>
  <si>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</si>
  <si>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</si>
  <si>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</si>
  <si>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</si>
  <si>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</si>
  <si>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</si>
  <si>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</si>
  <si>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</si>
  <si>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</si>
  <si>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</si>
  <si>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</si>
  <si>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</si>
  <si>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</si>
  <si>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</si>
  <si>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</si>
  <si>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</si>
  <si>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</si>
  <si>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</si>
  <si>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</si>
  <si>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</si>
  <si>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</si>
  <si>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</si>
  <si>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</si>
  <si>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</si>
  <si>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</si>
  <si>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</si>
  <si>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</si>
  <si>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</si>
  <si>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</si>
  <si>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</si>
  <si>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</si>
  <si>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</si>
  <si>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</si>
  <si>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</si>
  <si>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</si>
  <si>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</si>
  <si>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</si>
  <si>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</si>
  <si>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</si>
  <si>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</si>
  <si>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</si>
  <si>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</si>
  <si>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</si>
  <si>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</si>
  <si>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</si>
  <si>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</si>
  <si>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</si>
  <si>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</si>
  <si>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</si>
  <si>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</si>
  <si>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</si>
  <si>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</si>
  <si>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</si>
  <si>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</si>
  <si>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</si>
  <si>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</si>
  <si>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</si>
  <si>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</si>
  <si>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</si>
  <si>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</si>
  <si>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</si>
  <si>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</si>
  <si>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</si>
  <si>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</si>
  <si>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</si>
  <si>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</si>
  <si>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</si>
  <si>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</si>
  <si>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</si>
  <si>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</si>
  <si>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</si>
  <si>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</si>
  <si>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</si>
  <si>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</si>
  <si>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</si>
  <si>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</si>
  <si>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</si>
  <si>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</si>
  <si>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</si>
  <si>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</si>
  <si>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</si>
  <si>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</si>
  <si>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</si>
  <si>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</si>
  <si>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</si>
  <si>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</si>
  <si>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</si>
  <si>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</si>
  <si>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</si>
  <si>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</si>
  <si>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</si>
  <si>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</si>
  <si>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</si>
  <si>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</si>
  <si>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</si>
  <si>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</si>
  <si>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</si>
  <si>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</si>
  <si>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</si>
  <si>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</si>
  <si>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</si>
  <si>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</si>
  <si>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</si>
  <si>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</si>
  <si>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</si>
  <si>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</si>
  <si>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</si>
  <si>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</si>
  <si>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</si>
  <si>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</si>
  <si>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</si>
  <si>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</si>
  <si>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</si>
  <si>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</si>
  <si>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</si>
  <si>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</si>
  <si>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</si>
  <si>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</si>
  <si>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</si>
  <si>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</si>
  <si>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</si>
  <si>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</si>
  <si>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</si>
  <si>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</si>
  <si>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</si>
  <si>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</si>
  <si>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</si>
  <si>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</si>
  <si>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</si>
  <si>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</si>
  <si>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</si>
  <si>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</si>
  <si>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</si>
  <si>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</si>
  <si>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</si>
  <si>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</si>
  <si>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</si>
  <si>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</si>
  <si>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</si>
  <si>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</si>
  <si>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</si>
  <si>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</si>
  <si>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</si>
  <si>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</si>
  <si>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</si>
  <si>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</si>
  <si>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</si>
  <si>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</si>
  <si>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</si>
  <si>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</si>
  <si>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</si>
  <si>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</si>
  <si>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</si>
  <si>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</si>
  <si>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</si>
  <si>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</si>
  <si>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</si>
  <si>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</si>
  <si>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</si>
  <si>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</si>
  <si>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</si>
  <si>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</si>
  <si>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</si>
  <si>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</si>
  <si>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</si>
  <si>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</si>
  <si>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</si>
  <si>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</si>
  <si>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</si>
  <si>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</si>
  <si>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</si>
  <si>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</si>
  <si>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</si>
  <si>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</si>
  <si>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</si>
  <si>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</si>
  <si>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</si>
  <si>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</si>
  <si>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</si>
  <si>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</si>
  <si>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</si>
  <si>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</si>
  <si>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</si>
  <si>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</si>
  <si>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</si>
  <si>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</si>
  <si>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</si>
  <si>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</si>
  <si>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</si>
  <si>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</si>
  <si>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</si>
  <si>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</si>
  <si>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</si>
  <si>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</si>
  <si>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</si>
  <si>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</si>
  <si>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</si>
  <si>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</si>
  <si>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</si>
  <si>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</si>
  <si>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</si>
  <si>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</si>
  <si>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</si>
  <si>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</si>
  <si>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</si>
  <si>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</si>
  <si>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</si>
  <si>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</si>
  <si>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Wuerth Elektronik GmbH &amp; Co. KG, Circuit Board Technology (CBT)</t>
  </si>
  <si>
    <t>DE146280107</t>
  </si>
  <si>
    <t>VAT (USt.-IdNr.)</t>
  </si>
  <si>
    <t>Salzstr. 21, 74676 Niedernhall</t>
  </si>
  <si>
    <t>Alexander Braun</t>
  </si>
  <si>
    <t>alexander.braun@we-online.de</t>
  </si>
  <si>
    <t xml:space="preserve"> + 49 7622 397 381</t>
  </si>
  <si>
    <t>Daniel Klein</t>
  </si>
  <si>
    <t>CEO</t>
  </si>
  <si>
    <t>cbt@we-online.de</t>
  </si>
  <si>
    <t xml:space="preserve"> +49 7940 946-0</t>
  </si>
  <si>
    <t>https://www.we-online.com/files/pdf1/cbt_conflict-minerals-policy_en-v1.pdf</t>
  </si>
  <si>
    <t>Circuit Foil</t>
  </si>
  <si>
    <t>Enter smelter details</t>
  </si>
  <si>
    <t>www.circuitfoil.com (UL Certificate 100% recycled copper)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</si>
</sst>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we-online.com/files/pdf1/cbt_conflict-minerals-policy_en-v1.pdf" TargetMode="External"/><Relationship Id="rId2" Type="http://schemas.openxmlformats.org/officeDocument/2006/relationships/hyperlink" Target="mailto:cbt@we-online.de" TargetMode="External"/><Relationship Id="rId1" Type="http://schemas.openxmlformats.org/officeDocument/2006/relationships/hyperlink" Target="mailto:alexander.braun@we-online.d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30">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71.2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56.2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199.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56.7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8.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7">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85.2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DE99FA06-DF6B-4E58-B5CF-BFD5BF3E6329}"/>
    </customSheetView>
    <customSheetView guid="{C59130F4-2E03-5E48-94CE-6E4A0484DB9E}" showAutoFilter="1">
      <selection activeCell="E4" sqref="E4"/>
      <pageMargins left="0" right="0" top="0" bottom="0" header="0" footer="0"/>
      <pageSetup paperSize="9" orientation="portrait"/>
      <headerFooter alignWithMargins="0"/>
      <autoFilter ref="B1:N1" xr:uid="{BDADAE84-DAAC-4965-BAE4-A6BD03D8911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CC90EA8E-04E3-4601-BD2C-7C747D021685}"/>
    </customSheetView>
    <customSheetView guid="{C59130F4-2E03-5E48-94CE-6E4A0484DB9E}" showAutoFilter="1">
      <selection activeCell="C1" sqref="C1:D65536"/>
      <pageMargins left="0" right="0" top="0" bottom="0" header="0" footer="0"/>
      <pageSetup orientation="portrait"/>
      <headerFooter alignWithMargins="0"/>
      <autoFilter ref="B1:C1" xr:uid="{5F956757-2B3C-4614-9E7C-28509A4D31D3}"/>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AE17" sqref="AE17"/>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7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19180</v>
      </c>
      <c r="E12" s="427" t="s">
        <v>18684</v>
      </c>
      <c r="F12" s="428"/>
      <c r="G12" s="370" t="s">
        <v>19182</v>
      </c>
      <c r="H12" s="295"/>
      <c r="I12" s="295"/>
      <c r="J12" s="295"/>
      <c r="K12" s="29"/>
      <c r="L12" s="103"/>
      <c r="P12" s="293" t="str">
        <f>IF(ISBLANK(D12),"",IF(D12="(Delete Cobalt)",IF(ISBLANK(D14),"",D14),D12))</f>
        <v/>
      </c>
      <c r="Q12" s="294" t="str">
        <f>IF(P13="",P12,IF(P12="",P13,IF(P12&gt;P13,P13,P12)))</f>
        <v>Copper</v>
      </c>
      <c r="R12" s="294" t="str">
        <f>Q12</f>
        <v>Copper</v>
      </c>
      <c r="S12" s="294" t="str">
        <f t="shared" ref="S12" si="0">IF(R13="",R12,IF(R12="",R13,IF(R12&gt;R13,R13,R12)))</f>
        <v>Copper</v>
      </c>
      <c r="T12" s="294" t="str">
        <f t="shared" ref="T12" si="1">S12</f>
        <v>Copper</v>
      </c>
      <c r="U12" s="294" t="str">
        <f t="shared" ref="U12" si="2">IF(T13="",T12,IF(T12="",T13,IF(T12&gt;T13,T13,T12)))</f>
        <v>Copper</v>
      </c>
      <c r="V12" s="294" t="str">
        <f t="shared" ref="V12" si="3">U12</f>
        <v>Copper</v>
      </c>
      <c r="W12" s="294" t="str">
        <f t="shared" ref="W12" si="4">IF(V13="",V12,IF(V12="",V13,IF(V12&gt;V13,V13,V12)))</f>
        <v>Copper</v>
      </c>
      <c r="X12" s="294" t="str">
        <f t="shared" ref="X12" si="5">W12</f>
        <v>Copper</v>
      </c>
      <c r="Y12" s="294" t="str">
        <f t="shared" ref="Y12" si="6">IF(X13="",X12,IF(X12="",X13,IF(X12&gt;X13,X13,X12)))</f>
        <v>Copper</v>
      </c>
      <c r="Z12" s="294" t="str">
        <f t="shared" ref="Z12" si="7">Y12</f>
        <v>Copper</v>
      </c>
      <c r="AA12" s="294" t="str">
        <f>Z12</f>
        <v>Copper</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27" t="s">
        <v>19184</v>
      </c>
      <c r="F13" s="428"/>
      <c r="G13" s="370" t="s">
        <v>18685</v>
      </c>
      <c r="H13" s="296"/>
      <c r="I13" s="296"/>
      <c r="J13" s="296"/>
      <c r="K13" s="29"/>
      <c r="L13" s="103"/>
      <c r="P13" s="293" t="str">
        <f>IF(ISBLANK(E12),"",IF(E12="(Delete Copper)",IF(ISBLANK(E14),"",E14),E12))</f>
        <v>Copper</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Nickel</v>
      </c>
      <c r="W13" s="294" t="str">
        <f t="shared" ref="W13" si="11">IF(V13="",V13,IF(V12="",V12,IF(V12&gt;V13,V12,V13)))</f>
        <v>Nickel</v>
      </c>
      <c r="X13" s="294" t="str">
        <f t="shared" si="8"/>
        <v>Nickel</v>
      </c>
      <c r="Y13" s="294" t="str">
        <f t="shared" ref="Y13" si="12">IF(X13="",X13,IF(X12="",X12,IF(X12&gt;X13,X12,X13)))</f>
        <v>Nickel</v>
      </c>
      <c r="Z13" s="294" t="str">
        <f t="shared" si="8"/>
        <v>Nickel</v>
      </c>
      <c r="AA13" s="294" t="str" cm="1">
        <f t="array" ref="AA13">_xlfn.IFNA(INDEX($Z$12:$Z$21,MATCH(0,COUNTIF($AA$12:$AA12,$Z$12:$Z$21),0)),"")</f>
        <v>Nickel</v>
      </c>
      <c r="AB13" s="2"/>
      <c r="AC13" s="2"/>
      <c r="AD13" s="2"/>
      <c r="AE13" s="2"/>
      <c r="AF13" s="2"/>
      <c r="AG13" s="2"/>
    </row>
    <row r="14" spans="1:34" ht="15.75">
      <c r="A14" s="31"/>
      <c r="B14" s="429"/>
      <c r="C14" s="111"/>
      <c r="D14" s="296"/>
      <c r="E14" s="431"/>
      <c r="F14" s="432"/>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13" t="s">
        <v>20162</v>
      </c>
      <c r="E16" s="414" t="s">
        <v>20162</v>
      </c>
      <c r="F16" s="414" t="s">
        <v>20162</v>
      </c>
      <c r="G16" s="414" t="s">
        <v>20162</v>
      </c>
      <c r="H16" s="414" t="s">
        <v>20162</v>
      </c>
      <c r="I16" s="414" t="s">
        <v>20162</v>
      </c>
      <c r="J16" s="415" t="s">
        <v>20162</v>
      </c>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13" t="s">
        <v>20163</v>
      </c>
      <c r="E17" s="414" t="s">
        <v>20163</v>
      </c>
      <c r="F17" s="414" t="s">
        <v>20163</v>
      </c>
      <c r="G17" s="414" t="s">
        <v>20163</v>
      </c>
      <c r="H17" s="414" t="s">
        <v>20163</v>
      </c>
      <c r="I17" s="414" t="s">
        <v>20163</v>
      </c>
      <c r="J17" s="415" t="s">
        <v>20163</v>
      </c>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13" t="s">
        <v>20164</v>
      </c>
      <c r="E18" s="414" t="s">
        <v>20164</v>
      </c>
      <c r="F18" s="414" t="s">
        <v>20164</v>
      </c>
      <c r="G18" s="414" t="s">
        <v>20164</v>
      </c>
      <c r="H18" s="414" t="s">
        <v>20164</v>
      </c>
      <c r="I18" s="414" t="s">
        <v>20164</v>
      </c>
      <c r="J18" s="415" t="s">
        <v>20164</v>
      </c>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3" t="s">
        <v>20165</v>
      </c>
      <c r="E19" s="414"/>
      <c r="F19" s="414"/>
      <c r="G19" s="414"/>
      <c r="H19" s="414"/>
      <c r="I19" s="414"/>
      <c r="J19" s="415"/>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3" t="s">
        <v>20167</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3" t="s">
        <v>20168</v>
      </c>
      <c r="E22" s="414"/>
      <c r="F22" s="414"/>
      <c r="G22" s="414"/>
      <c r="H22" s="414"/>
      <c r="I22" s="414"/>
      <c r="J22" s="415"/>
      <c r="K22" s="29"/>
      <c r="L22" s="97"/>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6"/>
      <c r="D23" s="413" t="s">
        <v>20169</v>
      </c>
      <c r="E23" s="414"/>
      <c r="F23" s="414"/>
      <c r="G23" s="414"/>
      <c r="H23" s="414"/>
      <c r="I23" s="414"/>
      <c r="J23" s="415"/>
      <c r="K23" s="29"/>
      <c r="L23" s="97"/>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6"/>
      <c r="D24" s="433" t="s">
        <v>20170</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3" t="s">
        <v>20171</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9">
        <v>45992</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Copper(*)</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Nickel(*)</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
      </c>
      <c r="C32" s="28"/>
      <c r="D32" s="436"/>
      <c r="E32" s="437"/>
      <c r="F32" s="8"/>
      <c r="G32" s="401"/>
      <c r="H32" s="402"/>
      <c r="I32" s="402"/>
      <c r="J32" s="403"/>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
      </c>
      <c r="C33" s="28"/>
      <c r="D33" s="436"/>
      <c r="E33" s="437"/>
      <c r="F33" s="8"/>
      <c r="G33" s="401"/>
      <c r="H33" s="402"/>
      <c r="I33" s="402"/>
      <c r="J33" s="403"/>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36"/>
      <c r="E34" s="437"/>
      <c r="F34" s="8"/>
      <c r="G34" s="401"/>
      <c r="H34" s="402"/>
      <c r="I34" s="402"/>
      <c r="J34" s="403"/>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36"/>
      <c r="E35" s="437"/>
      <c r="F35" s="8"/>
      <c r="G35" s="401"/>
      <c r="H35" s="402"/>
      <c r="I35" s="402"/>
      <c r="J35" s="403"/>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Copper(*)</v>
      </c>
      <c r="C42" s="28"/>
      <c r="D42" s="436" t="s">
        <v>25</v>
      </c>
      <c r="E42" s="437"/>
      <c r="F42" s="8"/>
      <c r="G42" s="401"/>
      <c r="H42" s="402"/>
      <c r="I42" s="402"/>
      <c r="J42" s="403"/>
      <c r="K42" s="29"/>
      <c r="L42" s="104"/>
      <c r="M42">
        <f t="shared" ref="M42:M51" si="38">IF(AND(B42="",D42&lt;&gt;""),1,0)</f>
        <v>0</v>
      </c>
      <c r="P42" s="299" t="str">
        <f>IF(OR(D30="No",D30="Unknown",D30="Not declaring"),"",O30)</f>
        <v>(*)</v>
      </c>
      <c r="R42" s="2"/>
      <c r="S42" s="300" t="str">
        <f>IF(COUNTIF(D42,"Yes"),AA12,"")</f>
        <v>Copper</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Nickel(*)</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Nickel</v>
      </c>
      <c r="T43" s="301" t="str">
        <f>IF(S43="",S43,IF(S42="",S42,IF(S42&gt;S43,S42,S43)))</f>
        <v>Nickel</v>
      </c>
      <c r="U43" s="301" t="str">
        <f t="shared" ref="U43" si="49">IF(T44="",T43,IF(T43="",T44,IF(T43&gt;T44,T44,T43)))</f>
        <v>Nickel</v>
      </c>
      <c r="V43" s="301" t="str">
        <f t="shared" ref="V43" si="50">IF(U43="",U43,IF(U42="",U42,IF(U42&gt;U43,U42,U43)))</f>
        <v>Nickel</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36"/>
      <c r="E47" s="437"/>
      <c r="F47" s="8"/>
      <c r="G47" s="401"/>
      <c r="H47" s="402"/>
      <c r="I47" s="402"/>
      <c r="J47" s="403"/>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Copper(*)</v>
      </c>
      <c r="C54" s="6"/>
      <c r="D54" s="436" t="s">
        <v>22</v>
      </c>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Nickel(*)</v>
      </c>
      <c r="C55" s="6"/>
      <c r="D55" s="436" t="s">
        <v>22</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36"/>
      <c r="E59" s="437"/>
      <c r="F59" s="40"/>
      <c r="G59" s="401"/>
      <c r="H59" s="402"/>
      <c r="I59" s="402"/>
      <c r="J59" s="403"/>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Copper(*)</v>
      </c>
      <c r="C66" s="6"/>
      <c r="D66" s="436" t="s">
        <v>25</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Nickel(*)</v>
      </c>
      <c r="C67" s="6"/>
      <c r="D67" s="436" t="s">
        <v>25</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36"/>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Copper(*)</v>
      </c>
      <c r="C78" s="28"/>
      <c r="D78" s="436" t="s">
        <v>27</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Nickel(*)</v>
      </c>
      <c r="C79" s="28"/>
      <c r="D79" s="436" t="s">
        <v>28</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36"/>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Copper(*)</v>
      </c>
      <c r="C90" s="6"/>
      <c r="D90" s="436" t="s">
        <v>22</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Nickel(*)</v>
      </c>
      <c r="C91" s="6"/>
      <c r="D91" s="436" t="s">
        <v>22</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36"/>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Copper(*)</v>
      </c>
      <c r="C102" s="28"/>
      <c r="D102" s="436" t="s">
        <v>25</v>
      </c>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Nickel(*)</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36"/>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20172</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Copper(*)</v>
      </c>
      <c r="C120" s="292"/>
      <c r="D120" s="436" t="s">
        <v>22</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Nickel(*)</v>
      </c>
      <c r="C121" s="292"/>
      <c r="D121" s="436" t="s">
        <v>22</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36"/>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22</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0ADC7E79-8542-4483-A9E2-05F01B97F038}"/>
    <hyperlink ref="D24" r:id="rId2" xr:uid="{C474AC9C-2841-4258-B587-9AC4561AA6B7}"/>
    <hyperlink ref="G117" r:id="rId3" xr:uid="{13B58A5A-C054-436E-87B1-F0400DEB977E}"/>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D11" sqref="D11"/>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89.25">
      <c r="A5" s="196" t="s">
        <v>18925</v>
      </c>
      <c r="B5" s="302" t="s">
        <v>18685</v>
      </c>
      <c r="C5" s="151" t="s">
        <v>132</v>
      </c>
      <c r="D5" s="148"/>
      <c r="E5" s="148" t="str">
        <f ca="1">IF(ISERROR($V5),"",OFFSET('Smelter Look-up'!$D$4,$V5-4,0)&amp;"")</f>
        <v>JAPAN</v>
      </c>
      <c r="F5" s="148" t="str">
        <f ca="1">IF(ISERROR($V5),"",OFFSET('Smelter Look-up'!$E$4,$V5-4,0))</f>
        <v>CID003882</v>
      </c>
      <c r="G5" s="148" t="str">
        <f ca="1">IF(C5=$X$4,"Enter smelter details",IF(ISERROR($V5),"",OFFSET('Smelter Look-up'!$F$4,$V5-4,0)))</f>
        <v>RMI</v>
      </c>
      <c r="H5" s="204">
        <f ca="1">IF(ISERROR($V5),"",OFFSET('Smelter Look-up'!$G$4,$V5-4,0))</f>
        <v>0</v>
      </c>
      <c r="I5" s="205" t="str">
        <f ca="1">IF(ISERROR($V5),"",OFFSET('Smelter Look-up'!$H$4,$V5-4,0))</f>
        <v>Kako-gun</v>
      </c>
      <c r="J5" s="205" t="str">
        <f ca="1">IF(ISERROR($V5),"",OFFSET('Smelter Look-up'!$I$4,$V5-4,0))</f>
        <v>Hyôgo</v>
      </c>
      <c r="K5" s="149"/>
      <c r="L5" s="149"/>
      <c r="M5" s="149"/>
      <c r="N5" s="149"/>
      <c r="O5" s="149"/>
      <c r="P5" s="207"/>
      <c r="Q5" s="150"/>
      <c r="R5" s="148" t="str">
        <f ca="1">IF(ISERROR($V5),"",OFFSET('Smelter Look-up'!$C$4,$V5-4,0)&amp;"")</f>
        <v>Harima Refinery, Sumitomo Metal Mining</v>
      </c>
      <c r="S5" s="154" t="str">
        <f t="shared" ref="S5:S12" ca="1" si="0">IF(B5="","",IF(ISERROR(MATCH($E5,CL,0)),"Unknown",INDIRECT("'C'!$A$"&amp;MATCH($E5,CL,0)+1)))</f>
        <v>JP</v>
      </c>
      <c r="T5" s="154" t="str">
        <f ca="1">IF(B5="","",IF(ISERROR(MATCH($J5,SorP!$B$1:$B$6226,0)),"",INDIRECT("'SorP'!$A$"&amp;MATCH($S5&amp;$J5,SorP!C:C,0))))</f>
        <v>JP-28</v>
      </c>
      <c r="U5" s="167"/>
      <c r="V5" s="168">
        <f>IF(C5="",NA(),MATCH($B5&amp;$C5,'Smelter Look-up'!$J:$J,0))</f>
        <v>445</v>
      </c>
      <c r="X5" s="169">
        <f t="shared" ref="X5:X12" ca="1" si="1">IF(AND(C5="Smelter not listed",OR(LEN(D5)=0,LEN(E5)=0)),1,0)</f>
        <v>0</v>
      </c>
      <c r="AB5" s="312" t="str">
        <f t="shared" ref="AB5:AB12" si="2">IF(C5="","",B5)</f>
        <v>Nickel</v>
      </c>
      <c r="AC5" s="169" t="str">
        <f>B5</f>
        <v>Nickel</v>
      </c>
      <c r="AD5" s="169" t="str">
        <f>IF(C5="Smelter not listed",D5,C5)</f>
        <v>Harima Refinery, Sumitomo Metal Mining</v>
      </c>
    </row>
    <row r="6" spans="1:34" s="169" customFormat="1" ht="63.75">
      <c r="A6" s="196" t="s">
        <v>18940</v>
      </c>
      <c r="B6" s="302" t="s">
        <v>18685</v>
      </c>
      <c r="C6" s="151" t="s">
        <v>211</v>
      </c>
      <c r="D6" s="148"/>
      <c r="E6" s="148" t="str">
        <f ca="1">IF(ISERROR($V6),"",OFFSET('Smelter Look-up'!$D$4,$V6-4,0)&amp;"")</f>
        <v>AUSTRALIA</v>
      </c>
      <c r="F6" s="148" t="str">
        <f ca="1">IF(ISERROR($V6),"",OFFSET('Smelter Look-up'!$E$4,$V6-4,0))</f>
        <v>CID003928</v>
      </c>
      <c r="G6" s="148" t="str">
        <f ca="1">IF(C6=$X$4,"Enter smelter details",IF(ISERROR($V6),"",OFFSET('Smelter Look-up'!$F$4,$V6-4,0)))</f>
        <v>RMI</v>
      </c>
      <c r="H6" s="204">
        <f ca="1">IF(ISERROR($V6),"",OFFSET('Smelter Look-up'!$G$4,$V6-4,0))</f>
        <v>0</v>
      </c>
      <c r="I6" s="205" t="str">
        <f ca="1">IF(ISERROR($V6),"",OFFSET('Smelter Look-up'!$H$4,$V6-4,0))</f>
        <v>Perth</v>
      </c>
      <c r="J6" s="205" t="str">
        <f ca="1">IF(ISERROR($V6),"",OFFSET('Smelter Look-up'!$I$4,$V6-4,0))</f>
        <v>Western Australia</v>
      </c>
      <c r="K6" s="149"/>
      <c r="L6" s="149"/>
      <c r="M6" s="149"/>
      <c r="N6" s="149"/>
      <c r="O6" s="149"/>
      <c r="P6" s="207"/>
      <c r="Q6" s="150"/>
      <c r="R6" s="148" t="str">
        <f ca="1">IF(ISERROR($V6),"",OFFSET('Smelter Look-up'!$C$4,$V6-4,0)&amp;"")</f>
        <v>Murrin Murrin Nickel Cobalt Plant</v>
      </c>
      <c r="S6" s="154" t="str">
        <f t="shared" ca="1" si="0"/>
        <v>AU</v>
      </c>
      <c r="T6" s="154" t="str">
        <f ca="1">IF(B6="","",IF(ISERROR(MATCH($J6,SorP!$B$1:$B$6226,0)),"",INDIRECT("'SorP'!$A$"&amp;MATCH($S6&amp;$J6,SorP!C:C,0))))</f>
        <v>AU-WA</v>
      </c>
      <c r="U6" s="167"/>
      <c r="V6" s="168">
        <f>IF(C6="",NA(),MATCH($B6&amp;$C6,'Smelter Look-up'!$J:$J,0))</f>
        <v>467</v>
      </c>
      <c r="X6" s="169">
        <f t="shared" ca="1" si="1"/>
        <v>0</v>
      </c>
      <c r="AB6" s="312" t="str">
        <f t="shared" si="2"/>
        <v>Nickel</v>
      </c>
      <c r="AC6" s="169" t="str">
        <f t="shared" ref="AC6:AC69" si="3">B6</f>
        <v>Nickel</v>
      </c>
      <c r="AD6" s="169" t="str">
        <f t="shared" ref="AD6:AD69" si="4">IF(C6="Smelter not listed",D6,C6)</f>
        <v>Murrin Murrin Nickel Cobalt Plant</v>
      </c>
    </row>
    <row r="7" spans="1:34" s="169" customFormat="1" ht="76.5">
      <c r="A7" s="196" t="s">
        <v>18917</v>
      </c>
      <c r="B7" s="302" t="s">
        <v>18685</v>
      </c>
      <c r="C7" s="151" t="s">
        <v>86</v>
      </c>
      <c r="D7" s="148"/>
      <c r="E7" s="148" t="str">
        <f ca="1">IF(ISERROR($V7),"",OFFSET('Smelter Look-up'!$D$4,$V7-4,0)&amp;"")</f>
        <v>MADAGASCAR</v>
      </c>
      <c r="F7" s="148" t="str">
        <f ca="1">IF(ISERROR($V7),"",OFFSET('Smelter Look-up'!$E$4,$V7-4,0))</f>
        <v>CID003968</v>
      </c>
      <c r="G7" s="148" t="str">
        <f ca="1">IF(C7=$X$4,"Enter smelter details",IF(ISERROR($V7),"",OFFSET('Smelter Look-up'!$F$4,$V7-4,0)))</f>
        <v>RMI</v>
      </c>
      <c r="H7" s="204">
        <f ca="1">IF(ISERROR($V7),"",OFFSET('Smelter Look-up'!$G$4,$V7-4,0))</f>
        <v>0</v>
      </c>
      <c r="I7" s="205" t="str">
        <f ca="1">IF(ISERROR($V7),"",OFFSET('Smelter Look-up'!$H$4,$V7-4,0))</f>
        <v>Toamasina</v>
      </c>
      <c r="J7" s="205" t="str">
        <f ca="1">IF(ISERROR($V7),"",OFFSET('Smelter Look-up'!$I$4,$V7-4,0))</f>
        <v>Toamasina</v>
      </c>
      <c r="K7" s="149"/>
      <c r="L7" s="149"/>
      <c r="M7" s="149"/>
      <c r="N7" s="149"/>
      <c r="O7" s="149"/>
      <c r="P7" s="207"/>
      <c r="Q7" s="150"/>
      <c r="R7" s="148" t="str">
        <f ca="1">IF(ISERROR($V7),"",OFFSET('Smelter Look-up'!$C$4,$V7-4,0)&amp;"")</f>
        <v>Dynatec Madagascar Company</v>
      </c>
      <c r="S7" s="154" t="str">
        <f t="shared" ca="1" si="0"/>
        <v>MG</v>
      </c>
      <c r="T7" s="154" t="str">
        <f ca="1">IF(B7="","",IF(ISERROR(MATCH($J7,SorP!$B$1:$B$6226,0)),"",INDIRECT("'SorP'!$A$"&amp;MATCH($S7&amp;$J7,SorP!C:C,0))))</f>
        <v>MG-A</v>
      </c>
      <c r="U7" s="167"/>
      <c r="V7" s="168">
        <f>IF(C7="",NA(),MATCH($B7&amp;$C7,'Smelter Look-up'!$J:$J,0))</f>
        <v>433</v>
      </c>
      <c r="X7" s="169">
        <f t="shared" ca="1" si="1"/>
        <v>0</v>
      </c>
      <c r="AB7" s="312" t="str">
        <f t="shared" si="2"/>
        <v>Nickel</v>
      </c>
      <c r="AC7" s="169" t="str">
        <f t="shared" si="3"/>
        <v>Nickel</v>
      </c>
      <c r="AD7" s="169" t="str">
        <f t="shared" si="4"/>
        <v>Dynatec Madagascar Company</v>
      </c>
    </row>
    <row r="8" spans="1:34" s="169" customFormat="1" ht="25.5">
      <c r="A8" s="196" t="s">
        <v>271</v>
      </c>
      <c r="B8" s="302" t="s">
        <v>18685</v>
      </c>
      <c r="C8" s="151" t="s">
        <v>269</v>
      </c>
      <c r="D8" s="148"/>
      <c r="E8" s="148" t="str">
        <f ca="1">IF(ISERROR($V8),"",OFFSET('Smelter Look-up'!$D$4,$V8-4,0)&amp;"")</f>
        <v>BELGIUM</v>
      </c>
      <c r="F8" s="148" t="str">
        <f ca="1">IF(ISERROR($V8),"",OFFSET('Smelter Look-up'!$E$4,$V8-4,0))</f>
        <v>CID005249</v>
      </c>
      <c r="G8" s="148" t="str">
        <f ca="1">IF(C8=$X$4,"Enter smelter details",IF(ISERROR($V8),"",OFFSET('Smelter Look-up'!$F$4,$V8-4,0)))</f>
        <v>RMI</v>
      </c>
      <c r="H8" s="204">
        <f ca="1">IF(ISERROR($V8),"",OFFSET('Smelter Look-up'!$G$4,$V8-4,0))</f>
        <v>0</v>
      </c>
      <c r="I8" s="205" t="str">
        <f ca="1">IF(ISERROR($V8),"",OFFSET('Smelter Look-up'!$H$4,$V8-4,0))</f>
        <v>Olen</v>
      </c>
      <c r="J8" s="205" t="str">
        <f ca="1">IF(ISERROR($V8),"",OFFSET('Smelter Look-up'!$I$4,$V8-4,0))</f>
        <v>Antwerpen</v>
      </c>
      <c r="K8" s="149"/>
      <c r="L8" s="149"/>
      <c r="M8" s="149"/>
      <c r="N8" s="149"/>
      <c r="O8" s="149"/>
      <c r="P8" s="207"/>
      <c r="Q8" s="150"/>
      <c r="R8" s="148" t="str">
        <f ca="1">IF(ISERROR($V8),"",OFFSET('Smelter Look-up'!$C$4,$V8-4,0)&amp;"")</f>
        <v>Umicore Olen</v>
      </c>
      <c r="S8" s="154" t="str">
        <f t="shared" ca="1" si="0"/>
        <v>BE</v>
      </c>
      <c r="T8" s="154" t="str">
        <f ca="1">IF(B8="","",IF(ISERROR(MATCH($J8,SorP!$B$1:$B$6226,0)),"",INDIRECT("'SorP'!$A$"&amp;MATCH($S8&amp;$J8,SorP!C:C,0))))</f>
        <v>BE-VAN</v>
      </c>
      <c r="U8" s="167"/>
      <c r="V8" s="168">
        <f>IF(C8="",NA(),MATCH($B8&amp;$C8,'Smelter Look-up'!$J:$J,0))</f>
        <v>490</v>
      </c>
      <c r="X8" s="169">
        <f t="shared" ca="1" si="1"/>
        <v>0</v>
      </c>
      <c r="AB8" s="312" t="str">
        <f t="shared" si="2"/>
        <v>Nickel</v>
      </c>
      <c r="AC8" s="169" t="str">
        <f t="shared" si="3"/>
        <v>Nickel</v>
      </c>
      <c r="AD8" s="169" t="str">
        <f t="shared" si="4"/>
        <v>Umicore Olen</v>
      </c>
    </row>
    <row r="9" spans="1:34" s="169" customFormat="1" ht="33" customHeight="1">
      <c r="A9" s="196" t="s">
        <v>102</v>
      </c>
      <c r="B9" s="302" t="s">
        <v>18685</v>
      </c>
      <c r="C9" s="151" t="s">
        <v>100</v>
      </c>
      <c r="D9" s="148"/>
      <c r="E9" s="148" t="str">
        <f ca="1">IF(ISERROR($V9),"",OFFSET('Smelter Look-up'!$D$4,$V9-4,0)&amp;"")</f>
        <v>FINLAND</v>
      </c>
      <c r="F9" s="148" t="str">
        <f ca="1">IF(ISERROR($V9),"",OFFSET('Smelter Look-up'!$E$4,$V9-4,0))</f>
        <v>CID005250</v>
      </c>
      <c r="G9" s="148" t="str">
        <f ca="1">IF(C9=$X$4,"Enter smelter details",IF(ISERROR($V9),"",OFFSET('Smelter Look-up'!$F$4,$V9-4,0)))</f>
        <v>RMI</v>
      </c>
      <c r="H9" s="204">
        <f ca="1">IF(ISERROR($V9),"",OFFSET('Smelter Look-up'!$G$4,$V9-4,0))</f>
        <v>0</v>
      </c>
      <c r="I9" s="205" t="str">
        <f ca="1">IF(ISERROR($V9),"",OFFSET('Smelter Look-up'!$H$4,$V9-4,0))</f>
        <v>Kokkola</v>
      </c>
      <c r="J9" s="205" t="str">
        <f ca="1">IF(ISERROR($V9),"",OFFSET('Smelter Look-up'!$I$4,$V9-4,0))</f>
        <v>Mellersta Österbotten</v>
      </c>
      <c r="K9" s="149"/>
      <c r="L9" s="149"/>
      <c r="M9" s="149"/>
      <c r="N9" s="149"/>
      <c r="O9" s="149"/>
      <c r="P9" s="207"/>
      <c r="Q9" s="150"/>
      <c r="R9" s="148" t="str">
        <f ca="1">IF(ISERROR($V9),"",OFFSET('Smelter Look-up'!$C$4,$V9-4,0)&amp;"")</f>
        <v>Umicore Finland Oy</v>
      </c>
      <c r="S9" s="154" t="str">
        <f t="shared" ca="1" si="0"/>
        <v>FI</v>
      </c>
      <c r="T9" s="154" t="str">
        <f ca="1">IF(B9="","",IF(ISERROR(MATCH($J9,SorP!$B$1:$B$6226,0)),"",INDIRECT("'SorP'!$A$"&amp;MATCH($S9&amp;$J9,SorP!C:C,0))))</f>
        <v>FI-07</v>
      </c>
      <c r="U9" s="167"/>
      <c r="V9" s="168">
        <f>IF(C9="",NA(),MATCH($B9&amp;$C9,'Smelter Look-up'!$J:$J,0))</f>
        <v>489</v>
      </c>
      <c r="X9" s="169">
        <f t="shared" ca="1" si="1"/>
        <v>0</v>
      </c>
      <c r="AB9" s="312" t="str">
        <f t="shared" si="2"/>
        <v>Nickel</v>
      </c>
      <c r="AC9" s="169" t="str">
        <f t="shared" si="3"/>
        <v>Nickel</v>
      </c>
      <c r="AD9" s="169" t="str">
        <f t="shared" si="4"/>
        <v>Umicore Finland Oy</v>
      </c>
    </row>
    <row r="10" spans="1:34" s="169" customFormat="1" ht="25.5">
      <c r="A10" s="196"/>
      <c r="B10" s="302" t="s">
        <v>18684</v>
      </c>
      <c r="C10" s="151" t="s">
        <v>298</v>
      </c>
      <c r="D10" s="148" t="s">
        <v>20173</v>
      </c>
      <c r="E10" s="148" t="s">
        <v>1593</v>
      </c>
      <c r="F10" s="148">
        <v>0</v>
      </c>
      <c r="G10" s="148" t="s">
        <v>20174</v>
      </c>
      <c r="H10" s="204">
        <v>0</v>
      </c>
      <c r="I10" s="205" t="s">
        <v>7002</v>
      </c>
      <c r="J10" s="205" t="s">
        <v>6986</v>
      </c>
      <c r="K10" s="149"/>
      <c r="L10" s="149"/>
      <c r="M10" s="149"/>
      <c r="N10" s="149"/>
      <c r="O10" s="149"/>
      <c r="P10" s="207" t="s">
        <v>25</v>
      </c>
      <c r="Q10" s="150" t="s">
        <v>20175</v>
      </c>
      <c r="R10" s="148" t="str">
        <f ca="1">IF(ISERROR($V10),"",OFFSET('Smelter Look-up'!$C$4,$V10-4,0)&amp;"")</f>
        <v/>
      </c>
      <c r="S10" s="154" t="str">
        <f t="shared" ca="1" si="0"/>
        <v>LU</v>
      </c>
      <c r="T10" s="154" t="str">
        <f ca="1">IF(B10="","",IF(ISERROR(MATCH($J10,SorP!$B$1:$B$6226,0)),"",INDIRECT("'SorP'!$A$"&amp;MATCH($S10&amp;$J10,SorP!C:C,0))))</f>
        <v>LU-LU</v>
      </c>
      <c r="U10" s="167"/>
      <c r="V10" s="168">
        <f>IF(C10="",NA(),MATCH($B10&amp;$C10,'Smelter Look-up'!$J:$J,0))</f>
        <v>314</v>
      </c>
      <c r="X10" s="169">
        <f t="shared" si="1"/>
        <v>0</v>
      </c>
      <c r="AB10" s="312" t="str">
        <f t="shared" si="2"/>
        <v>Copper</v>
      </c>
      <c r="AC10" s="169" t="str">
        <f t="shared" si="3"/>
        <v>Copper</v>
      </c>
      <c r="AD10" s="169" t="str">
        <f t="shared" si="4"/>
        <v>Circuit Foil</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8"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Wuerth Elektronik GmbH &amp; Co. KG, Circuit Board Technology (CBT)</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Alexander Braun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alexander.braun@we-online.de</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 xml:space="preserve"> + 49 7622 397 381</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Daniel Klein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cbt@we-online.de</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45992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Copper(*)</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Nickel(*)</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Copper(*)</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Nickel(*)</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Copper(*)</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Nickel(*)</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Copper(*)</v>
      </c>
      <c r="B50" s="78" t="str">
        <f>Declaration!D66</f>
        <v>Yes</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Nickel(*)</v>
      </c>
      <c r="B51" s="78" t="str">
        <f>Declaration!D67</f>
        <v>Yes</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Copper(*)</v>
      </c>
      <c r="B61" s="78" t="str">
        <f>Declaration!D78</f>
        <v>Greater than 90%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Nickel(*)</v>
      </c>
      <c r="B62" s="78" t="str">
        <f>Declaration!D79</f>
        <v>Greater than 75%</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Copper(*)</v>
      </c>
      <c r="B72" s="78" t="str">
        <f>Declaration!D90</f>
        <v>No</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Nickel(*)</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Copper(*)</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Nickel(*)</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https://www.we-online.com/files/pdf1/cbt_conflict-minerals-policy_en-v1.pdf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Copper(*)</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Nickel(*)</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No</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Copper</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Nickel</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List'!AB$5:AB$2504,A117)&gt;0),0,1)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Brunkhorst, Malte</cp:lastModifiedBy>
  <cp:revision/>
  <dcterms:created xsi:type="dcterms:W3CDTF">2010-06-21T21:00:23Z</dcterms:created>
  <dcterms:modified xsi:type="dcterms:W3CDTF">2025-12-01T14:11:51Z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